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28\Ortak Alan\-1 KURUMSAL HAFIZA\2021 YILI ÇALIŞMA VE İŞ PROGRAMI\"/>
    </mc:Choice>
  </mc:AlternateContent>
  <bookViews>
    <workbookView xWindow="0" yWindow="0" windowWidth="25200" windowHeight="11910" activeTab="3"/>
  </bookViews>
  <sheets>
    <sheet name="KURUMLAR GENEL TOPLAM" sheetId="8" r:id="rId1"/>
    <sheet name="SEKTÖRLER GENEL TOPLAM" sheetId="11" r:id="rId2"/>
    <sheet name="KURUMLAR" sheetId="13" r:id="rId3"/>
    <sheet name="Sayfa1" sheetId="15" r:id="rId4"/>
    <sheet name="BELEDİYELER GENEL TOPLAM" sheetId="7" r:id="rId5"/>
    <sheet name="BELEDİYELER" sheetId="3" r:id="rId6"/>
  </sheets>
  <definedNames>
    <definedName name="_xlnm._FilterDatabase" localSheetId="4" hidden="1">'BELEDİYELER GENEL TOPLAM'!$B$1:$B$47</definedName>
    <definedName name="_xlnm._FilterDatabase" localSheetId="2" hidden="1">KURUMLAR!$B$1:$B$952</definedName>
    <definedName name="_xlnm._FilterDatabase" localSheetId="0" hidden="1">'KURUMLAR GENEL TOPLAM'!$B$1:$B$42</definedName>
    <definedName name="_xlnm._FilterDatabase" localSheetId="1" hidden="1">'SEKTÖRLER GENEL TOPLAM'!$A$2:$E$9</definedName>
    <definedName name="_xlnm.Print_Area" localSheetId="5">BELEDİYELER!$A$1:$P$483</definedName>
    <definedName name="_xlnm.Print_Area" localSheetId="4">'BELEDİYELER GENEL TOPLAM'!$A$1:$F$49</definedName>
    <definedName name="_xlnm.Print_Area" localSheetId="2">KURUMLAR!$A$1:$P$952</definedName>
    <definedName name="_xlnm.Print_Area" localSheetId="0">'KURUMLAR GENEL TOPLAM'!$A$1:$F$43</definedName>
    <definedName name="_xlnm.Print_Titles" localSheetId="5">BELEDİYELER!$3:$4</definedName>
    <definedName name="_xlnm.Print_Titles" localSheetId="4">'BELEDİYELER GENEL TOPLAM'!$3:$3</definedName>
    <definedName name="_xlnm.Print_Titles" localSheetId="2">KURUMLAR!$4:$5</definedName>
    <definedName name="_xlnm.Print_Titles" localSheetId="0">'KURUMLAR GENEL TOPLAM'!$3:$3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69" i="3" l="1"/>
  <c r="J469" i="3"/>
  <c r="K469" i="3"/>
  <c r="L469" i="3"/>
  <c r="M469" i="3"/>
  <c r="N469" i="3"/>
  <c r="O469" i="3"/>
  <c r="H469" i="3"/>
  <c r="C19" i="7"/>
  <c r="J417" i="3"/>
  <c r="L417" i="3" s="1"/>
  <c r="J418" i="3"/>
  <c r="L418" i="3" s="1"/>
  <c r="J419" i="3"/>
  <c r="L419" i="3" s="1"/>
  <c r="J420" i="3"/>
  <c r="L420" i="3" s="1"/>
  <c r="J421" i="3"/>
  <c r="L421" i="3" s="1"/>
  <c r="J422" i="3"/>
  <c r="L422" i="3" s="1"/>
  <c r="J423" i="3"/>
  <c r="L423" i="3" s="1"/>
  <c r="J424" i="3"/>
  <c r="L424" i="3" s="1"/>
  <c r="J425" i="3"/>
  <c r="L425" i="3" s="1"/>
  <c r="J426" i="3"/>
  <c r="L426" i="3" s="1"/>
  <c r="J416" i="3"/>
  <c r="L416" i="3" s="1"/>
  <c r="I427" i="3"/>
  <c r="E19" i="7" s="1"/>
  <c r="K427" i="3"/>
  <c r="M427" i="3"/>
  <c r="N427" i="3"/>
  <c r="O427" i="3"/>
  <c r="H427" i="3"/>
  <c r="D19" i="7" s="1"/>
  <c r="J454" i="3"/>
  <c r="L454" i="3" s="1"/>
  <c r="J452" i="3"/>
  <c r="L452" i="3" s="1"/>
  <c r="L453" i="3"/>
  <c r="C42" i="7"/>
  <c r="I455" i="3"/>
  <c r="E42" i="7" s="1"/>
  <c r="K455" i="3"/>
  <c r="M455" i="3"/>
  <c r="N455" i="3"/>
  <c r="O455" i="3"/>
  <c r="H455" i="3"/>
  <c r="D42" i="7" s="1"/>
  <c r="J427" i="3" l="1"/>
  <c r="F19" i="7" s="1"/>
  <c r="L427" i="3"/>
  <c r="J455" i="3"/>
  <c r="F42" i="7" s="1"/>
  <c r="L455" i="3"/>
  <c r="J448" i="3"/>
  <c r="L448" i="3" s="1"/>
  <c r="J447" i="3"/>
  <c r="L447" i="3" s="1"/>
  <c r="C37" i="7"/>
  <c r="O449" i="3"/>
  <c r="N449" i="3"/>
  <c r="M449" i="3"/>
  <c r="K449" i="3"/>
  <c r="I449" i="3"/>
  <c r="E37" i="7" s="1"/>
  <c r="H449" i="3"/>
  <c r="D37" i="7" s="1"/>
  <c r="C40" i="7"/>
  <c r="J443" i="3"/>
  <c r="L443" i="3" s="1"/>
  <c r="I440" i="3"/>
  <c r="I444" i="3" s="1"/>
  <c r="E40" i="7" s="1"/>
  <c r="H443" i="3"/>
  <c r="H442" i="3"/>
  <c r="J442" i="3" s="1"/>
  <c r="L442" i="3" s="1"/>
  <c r="H441" i="3"/>
  <c r="J441" i="3" s="1"/>
  <c r="L441" i="3" s="1"/>
  <c r="H440" i="3"/>
  <c r="J440" i="3" s="1"/>
  <c r="L440" i="3" s="1"/>
  <c r="O444" i="3"/>
  <c r="N444" i="3"/>
  <c r="M444" i="3"/>
  <c r="K444" i="3"/>
  <c r="C31" i="7"/>
  <c r="L351" i="3"/>
  <c r="L352" i="3"/>
  <c r="L353" i="3"/>
  <c r="L354" i="3"/>
  <c r="L355" i="3"/>
  <c r="L356" i="3"/>
  <c r="L357" i="3"/>
  <c r="L358" i="3"/>
  <c r="L359" i="3"/>
  <c r="L360" i="3"/>
  <c r="L361" i="3"/>
  <c r="L362" i="3"/>
  <c r="L363" i="3"/>
  <c r="L364" i="3"/>
  <c r="L365" i="3"/>
  <c r="L366" i="3"/>
  <c r="L367" i="3"/>
  <c r="L368" i="3"/>
  <c r="L369" i="3"/>
  <c r="L370" i="3"/>
  <c r="L371" i="3"/>
  <c r="L372" i="3"/>
  <c r="L373" i="3"/>
  <c r="L374" i="3"/>
  <c r="L375" i="3"/>
  <c r="L376" i="3"/>
  <c r="L377" i="3"/>
  <c r="L378" i="3"/>
  <c r="L379" i="3"/>
  <c r="L380" i="3"/>
  <c r="L381" i="3"/>
  <c r="L382" i="3"/>
  <c r="L383" i="3"/>
  <c r="L384" i="3"/>
  <c r="L350" i="3"/>
  <c r="I385" i="3"/>
  <c r="E31" i="7" s="1"/>
  <c r="J385" i="3"/>
  <c r="F31" i="7" s="1"/>
  <c r="K385" i="3"/>
  <c r="M385" i="3"/>
  <c r="N385" i="3"/>
  <c r="O385" i="3"/>
  <c r="H385" i="3"/>
  <c r="D31" i="7" s="1"/>
  <c r="J449" i="3" l="1"/>
  <c r="F37" i="7" s="1"/>
  <c r="L449" i="3"/>
  <c r="L444" i="3"/>
  <c r="J444" i="3"/>
  <c r="F40" i="7" s="1"/>
  <c r="H444" i="3"/>
  <c r="D40" i="7" s="1"/>
  <c r="L385" i="3"/>
  <c r="C28" i="7"/>
  <c r="L431" i="3"/>
  <c r="L432" i="3"/>
  <c r="L433" i="3"/>
  <c r="L434" i="3"/>
  <c r="L435" i="3"/>
  <c r="L436" i="3"/>
  <c r="L437" i="3"/>
  <c r="L430" i="3"/>
  <c r="I438" i="3"/>
  <c r="E28" i="7" s="1"/>
  <c r="J438" i="3"/>
  <c r="F28" i="7" s="1"/>
  <c r="K438" i="3"/>
  <c r="M438" i="3"/>
  <c r="N438" i="3"/>
  <c r="O438" i="3"/>
  <c r="H438" i="3"/>
  <c r="D28" i="7" s="1"/>
  <c r="L438" i="3" l="1"/>
  <c r="C27" i="7"/>
  <c r="L389" i="3"/>
  <c r="L390" i="3"/>
  <c r="L391" i="3"/>
  <c r="L392" i="3"/>
  <c r="L393" i="3"/>
  <c r="L394" i="3"/>
  <c r="L395" i="3"/>
  <c r="L396" i="3"/>
  <c r="L397" i="3"/>
  <c r="L398" i="3"/>
  <c r="L399" i="3"/>
  <c r="L400" i="3"/>
  <c r="L401" i="3"/>
  <c r="L402" i="3"/>
  <c r="L403" i="3"/>
  <c r="L404" i="3"/>
  <c r="L405" i="3"/>
  <c r="L406" i="3"/>
  <c r="L407" i="3"/>
  <c r="L408" i="3"/>
  <c r="L409" i="3"/>
  <c r="L410" i="3"/>
  <c r="L411" i="3"/>
  <c r="L412" i="3"/>
  <c r="L388" i="3"/>
  <c r="I413" i="3"/>
  <c r="E27" i="7" s="1"/>
  <c r="J413" i="3"/>
  <c r="F27" i="7" s="1"/>
  <c r="K413" i="3"/>
  <c r="M413" i="3"/>
  <c r="N413" i="3"/>
  <c r="O413" i="3"/>
  <c r="H413" i="3"/>
  <c r="D27" i="7" s="1"/>
  <c r="L413" i="3" l="1"/>
  <c r="I347" i="3" l="1"/>
  <c r="J347" i="3"/>
  <c r="K347" i="3"/>
  <c r="M347" i="3"/>
  <c r="N347" i="3"/>
  <c r="O347" i="3"/>
  <c r="H347" i="3"/>
  <c r="C14" i="7"/>
  <c r="L346" i="3"/>
  <c r="L345" i="3"/>
  <c r="L347" i="3" l="1"/>
  <c r="C12" i="7"/>
  <c r="C11" i="7"/>
  <c r="O342" i="3"/>
  <c r="N342" i="3"/>
  <c r="M342" i="3"/>
  <c r="K342" i="3"/>
  <c r="J342" i="3"/>
  <c r="F11" i="7" s="1"/>
  <c r="I342" i="3"/>
  <c r="E11" i="7" s="1"/>
  <c r="H342" i="3"/>
  <c r="D11" i="7" s="1"/>
  <c r="L341" i="3"/>
  <c r="L340" i="3"/>
  <c r="L339" i="3"/>
  <c r="L338" i="3"/>
  <c r="L342" i="3" l="1"/>
  <c r="I644" i="13"/>
  <c r="J644" i="13"/>
  <c r="K644" i="13"/>
  <c r="L644" i="13"/>
  <c r="M644" i="13"/>
  <c r="N644" i="13"/>
  <c r="O644" i="13"/>
  <c r="E43" i="8"/>
  <c r="D43" i="8"/>
  <c r="I952" i="13"/>
  <c r="J952" i="13"/>
  <c r="K952" i="13"/>
  <c r="L952" i="13"/>
  <c r="M952" i="13"/>
  <c r="N952" i="13"/>
  <c r="O952" i="13"/>
  <c r="H952" i="13"/>
  <c r="E27" i="8"/>
  <c r="F27" i="8"/>
  <c r="F43" i="8" s="1"/>
  <c r="D27" i="8"/>
  <c r="C27" i="8"/>
  <c r="H644" i="13"/>
  <c r="C43" i="7" l="1"/>
  <c r="O467" i="3"/>
  <c r="N467" i="3"/>
  <c r="M467" i="3"/>
  <c r="L467" i="3"/>
  <c r="K467" i="3"/>
  <c r="J467" i="3"/>
  <c r="F43" i="7" s="1"/>
  <c r="I467" i="3"/>
  <c r="E43" i="7" s="1"/>
  <c r="H467" i="3"/>
  <c r="D43" i="7" s="1"/>
  <c r="I936" i="13"/>
  <c r="J936" i="13"/>
  <c r="F32" i="8" s="1"/>
  <c r="K936" i="13"/>
  <c r="M936" i="13"/>
  <c r="N936" i="13"/>
  <c r="O936" i="13"/>
  <c r="H936" i="13"/>
  <c r="D32" i="8" s="1"/>
  <c r="E32" i="8"/>
  <c r="C32" i="8"/>
  <c r="L934" i="13"/>
  <c r="L930" i="13"/>
  <c r="H70" i="3"/>
  <c r="I70" i="3"/>
  <c r="J70" i="3"/>
  <c r="K70" i="3"/>
  <c r="L70" i="3"/>
  <c r="M70" i="3"/>
  <c r="N70" i="3"/>
  <c r="O70" i="3"/>
  <c r="C4" i="8"/>
  <c r="L191" i="13"/>
  <c r="L192" i="13"/>
  <c r="L193" i="13"/>
  <c r="L194" i="13"/>
  <c r="L195" i="13"/>
  <c r="L196" i="13"/>
  <c r="L197" i="13"/>
  <c r="L190" i="13"/>
  <c r="J198" i="13"/>
  <c r="F4" i="8" s="1"/>
  <c r="I198" i="13"/>
  <c r="E4" i="8" s="1"/>
  <c r="H198" i="13"/>
  <c r="D4" i="8" s="1"/>
  <c r="C195" i="13"/>
  <c r="C194" i="13"/>
  <c r="C193" i="13"/>
  <c r="C192" i="13"/>
  <c r="C191" i="13"/>
  <c r="C190" i="13"/>
  <c r="K198" i="13"/>
  <c r="M198" i="13"/>
  <c r="N198" i="13"/>
  <c r="O198" i="13"/>
  <c r="L936" i="13" l="1"/>
  <c r="L198" i="13"/>
  <c r="C7" i="7" l="1"/>
  <c r="C6" i="7"/>
  <c r="C5" i="7"/>
  <c r="O56" i="3"/>
  <c r="N56" i="3"/>
  <c r="M56" i="3"/>
  <c r="L56" i="3"/>
  <c r="K56" i="3"/>
  <c r="J56" i="3"/>
  <c r="F7" i="7" s="1"/>
  <c r="I56" i="3"/>
  <c r="E7" i="7" s="1"/>
  <c r="H56" i="3"/>
  <c r="D7" i="7" s="1"/>
  <c r="O47" i="3"/>
  <c r="N47" i="3"/>
  <c r="M47" i="3"/>
  <c r="K47" i="3"/>
  <c r="J47" i="3"/>
  <c r="F6" i="7" s="1"/>
  <c r="I47" i="3"/>
  <c r="E6" i="7" s="1"/>
  <c r="H47" i="3"/>
  <c r="D6" i="7" s="1"/>
  <c r="L46" i="3"/>
  <c r="L45" i="3"/>
  <c r="L44" i="3"/>
  <c r="L43" i="3"/>
  <c r="L42" i="3"/>
  <c r="L41" i="3"/>
  <c r="L40" i="3"/>
  <c r="L39" i="3"/>
  <c r="L38" i="3"/>
  <c r="L37" i="3"/>
  <c r="L36" i="3"/>
  <c r="L35" i="3"/>
  <c r="O32" i="3"/>
  <c r="N32" i="3"/>
  <c r="M32" i="3"/>
  <c r="L32" i="3"/>
  <c r="K32" i="3"/>
  <c r="J32" i="3"/>
  <c r="F5" i="7" s="1"/>
  <c r="I32" i="3"/>
  <c r="E5" i="7" s="1"/>
  <c r="H32" i="3"/>
  <c r="D5" i="7" s="1"/>
  <c r="L47" i="3" l="1"/>
  <c r="I157" i="3"/>
  <c r="J157" i="3"/>
  <c r="K157" i="3"/>
  <c r="L157" i="3"/>
  <c r="M157" i="3"/>
  <c r="H157" i="3"/>
  <c r="I287" i="3"/>
  <c r="J287" i="3"/>
  <c r="K287" i="3"/>
  <c r="L287" i="3"/>
  <c r="H287" i="3"/>
  <c r="C38" i="7"/>
  <c r="I335" i="3"/>
  <c r="K335" i="3"/>
  <c r="M335" i="3"/>
  <c r="N335" i="3"/>
  <c r="O335" i="3"/>
  <c r="H335" i="3"/>
  <c r="J334" i="3"/>
  <c r="L334" i="3" s="1"/>
  <c r="J333" i="3"/>
  <c r="L333" i="3" s="1"/>
  <c r="J332" i="3"/>
  <c r="L332" i="3" s="1"/>
  <c r="J331" i="3"/>
  <c r="L331" i="3" s="1"/>
  <c r="I328" i="3"/>
  <c r="J328" i="3"/>
  <c r="K328" i="3"/>
  <c r="L328" i="3"/>
  <c r="M328" i="3"/>
  <c r="N328" i="3"/>
  <c r="O328" i="3"/>
  <c r="H328" i="3"/>
  <c r="D32" i="7" s="1"/>
  <c r="E32" i="7"/>
  <c r="F32" i="7"/>
  <c r="C32" i="7"/>
  <c r="D38" i="7" l="1"/>
  <c r="E38" i="7"/>
  <c r="L335" i="3"/>
  <c r="J335" i="3"/>
  <c r="F38" i="7" s="1"/>
  <c r="C45" i="7"/>
  <c r="I321" i="3"/>
  <c r="E45" i="7" s="1"/>
  <c r="J321" i="3"/>
  <c r="F45" i="7" s="1"/>
  <c r="K321" i="3"/>
  <c r="N321" i="3"/>
  <c r="H321" i="3"/>
  <c r="D45" i="7" s="1"/>
  <c r="L320" i="3"/>
  <c r="L321" i="3" s="1"/>
  <c r="M319" i="3"/>
  <c r="M318" i="3"/>
  <c r="M317" i="3"/>
  <c r="O315" i="3"/>
  <c r="O314" i="3"/>
  <c r="O313" i="3"/>
  <c r="M321" i="3" l="1"/>
  <c r="O321" i="3"/>
  <c r="C14" i="8"/>
  <c r="I261" i="13"/>
  <c r="E14" i="8" s="1"/>
  <c r="J261" i="13"/>
  <c r="F14" i="8" s="1"/>
  <c r="K261" i="13"/>
  <c r="L261" i="13"/>
  <c r="M261" i="13"/>
  <c r="N261" i="13"/>
  <c r="O261" i="13"/>
  <c r="H261" i="13"/>
  <c r="D14" i="8" s="1"/>
  <c r="C9" i="8" l="1"/>
  <c r="L68" i="13"/>
  <c r="I83" i="13"/>
  <c r="E9" i="8" s="1"/>
  <c r="K83" i="13"/>
  <c r="M83" i="13"/>
  <c r="N83" i="13"/>
  <c r="O83" i="13"/>
  <c r="H83" i="13"/>
  <c r="D9" i="8" s="1"/>
  <c r="J82" i="13"/>
  <c r="L82" i="13" s="1"/>
  <c r="J81" i="13"/>
  <c r="L81" i="13" s="1"/>
  <c r="J80" i="13"/>
  <c r="L80" i="13" s="1"/>
  <c r="J79" i="13"/>
  <c r="L79" i="13" s="1"/>
  <c r="J78" i="13"/>
  <c r="L78" i="13" s="1"/>
  <c r="J77" i="13"/>
  <c r="L77" i="13" s="1"/>
  <c r="J76" i="13"/>
  <c r="L76" i="13" s="1"/>
  <c r="J75" i="13"/>
  <c r="L75" i="13" s="1"/>
  <c r="J74" i="13"/>
  <c r="L74" i="13" s="1"/>
  <c r="J73" i="13"/>
  <c r="L73" i="13" s="1"/>
  <c r="J72" i="13"/>
  <c r="L72" i="13" s="1"/>
  <c r="J71" i="13"/>
  <c r="L71" i="13" s="1"/>
  <c r="J70" i="13"/>
  <c r="L70" i="13" s="1"/>
  <c r="J69" i="13"/>
  <c r="L69" i="13" s="1"/>
  <c r="J67" i="13"/>
  <c r="L67" i="13" s="1"/>
  <c r="J66" i="13"/>
  <c r="L66" i="13" s="1"/>
  <c r="J65" i="13"/>
  <c r="L65" i="13" s="1"/>
  <c r="J64" i="13"/>
  <c r="L64" i="13" s="1"/>
  <c r="J63" i="13"/>
  <c r="L63" i="13" s="1"/>
  <c r="C25" i="8"/>
  <c r="L613" i="13"/>
  <c r="L614" i="13"/>
  <c r="L615" i="13"/>
  <c r="L616" i="13"/>
  <c r="L617" i="13"/>
  <c r="L618" i="13"/>
  <c r="L619" i="13"/>
  <c r="L620" i="13"/>
  <c r="L621" i="13"/>
  <c r="L622" i="13"/>
  <c r="L623" i="13"/>
  <c r="L624" i="13"/>
  <c r="L625" i="13"/>
  <c r="L626" i="13"/>
  <c r="L627" i="13"/>
  <c r="L628" i="13"/>
  <c r="L629" i="13"/>
  <c r="L630" i="13"/>
  <c r="L612" i="13"/>
  <c r="I631" i="13"/>
  <c r="E25" i="8" s="1"/>
  <c r="J631" i="13"/>
  <c r="F25" i="8" s="1"/>
  <c r="K631" i="13"/>
  <c r="M631" i="13"/>
  <c r="N631" i="13"/>
  <c r="O631" i="13"/>
  <c r="H631" i="13"/>
  <c r="D25" i="8" s="1"/>
  <c r="J83" i="13" l="1"/>
  <c r="F9" i="8" s="1"/>
  <c r="L83" i="13"/>
  <c r="L631" i="13"/>
  <c r="I256" i="13" l="1"/>
  <c r="J256" i="13"/>
  <c r="K256" i="13"/>
  <c r="H256" i="13"/>
  <c r="J308" i="3"/>
  <c r="L308" i="3" s="1"/>
  <c r="J309" i="3"/>
  <c r="L309" i="3" s="1"/>
  <c r="J307" i="3"/>
  <c r="L307" i="3" s="1"/>
  <c r="C39" i="7"/>
  <c r="C25" i="7"/>
  <c r="L299" i="3"/>
  <c r="L300" i="3"/>
  <c r="L301" i="3"/>
  <c r="L302" i="3"/>
  <c r="L303" i="3"/>
  <c r="L298" i="3"/>
  <c r="I304" i="3"/>
  <c r="E25" i="7" s="1"/>
  <c r="J304" i="3"/>
  <c r="F25" i="7" s="1"/>
  <c r="K304" i="3"/>
  <c r="M304" i="3"/>
  <c r="N304" i="3"/>
  <c r="O304" i="3"/>
  <c r="H304" i="3"/>
  <c r="D25" i="7" s="1"/>
  <c r="L304" i="3" l="1"/>
  <c r="C39" i="8"/>
  <c r="I881" i="13"/>
  <c r="E39" i="8" s="1"/>
  <c r="J881" i="13"/>
  <c r="F39" i="8" s="1"/>
  <c r="K881" i="13"/>
  <c r="L881" i="13"/>
  <c r="M881" i="13"/>
  <c r="N881" i="13"/>
  <c r="O881" i="13"/>
  <c r="H881" i="13"/>
  <c r="D39" i="8" s="1"/>
  <c r="C29" i="7"/>
  <c r="J294" i="3"/>
  <c r="J290" i="3"/>
  <c r="K295" i="3"/>
  <c r="L295" i="3"/>
  <c r="M295" i="3"/>
  <c r="N295" i="3"/>
  <c r="O295" i="3"/>
  <c r="I293" i="3"/>
  <c r="H293" i="3"/>
  <c r="I292" i="3"/>
  <c r="H292" i="3"/>
  <c r="I291" i="3"/>
  <c r="H291" i="3"/>
  <c r="C35" i="7"/>
  <c r="E35" i="7"/>
  <c r="F35" i="7"/>
  <c r="D35" i="7"/>
  <c r="O286" i="3"/>
  <c r="N286" i="3"/>
  <c r="M286" i="3"/>
  <c r="O285" i="3"/>
  <c r="N285" i="3"/>
  <c r="M285" i="3"/>
  <c r="M280" i="3"/>
  <c r="O287" i="3" l="1"/>
  <c r="M287" i="3"/>
  <c r="N287" i="3"/>
  <c r="I295" i="3"/>
  <c r="E29" i="7" s="1"/>
  <c r="J291" i="3"/>
  <c r="J293" i="3"/>
  <c r="J292" i="3"/>
  <c r="H295" i="3"/>
  <c r="D29" i="7" s="1"/>
  <c r="C21" i="7"/>
  <c r="I276" i="3"/>
  <c r="E21" i="7" s="1"/>
  <c r="J276" i="3"/>
  <c r="F21" i="7" s="1"/>
  <c r="K276" i="3"/>
  <c r="M276" i="3"/>
  <c r="N276" i="3"/>
  <c r="O276" i="3"/>
  <c r="L258" i="3"/>
  <c r="L259" i="3"/>
  <c r="L260" i="3"/>
  <c r="L261" i="3"/>
  <c r="L262" i="3"/>
  <c r="L263" i="3"/>
  <c r="L264" i="3"/>
  <c r="L265" i="3"/>
  <c r="L266" i="3"/>
  <c r="L267" i="3"/>
  <c r="L268" i="3"/>
  <c r="L269" i="3"/>
  <c r="L270" i="3"/>
  <c r="L271" i="3"/>
  <c r="L272" i="3"/>
  <c r="L273" i="3"/>
  <c r="L274" i="3"/>
  <c r="L275" i="3"/>
  <c r="L257" i="3"/>
  <c r="H276" i="3"/>
  <c r="D21" i="7" s="1"/>
  <c r="C6" i="8"/>
  <c r="I114" i="13"/>
  <c r="E6" i="8" s="1"/>
  <c r="J114" i="13"/>
  <c r="F6" i="8" s="1"/>
  <c r="K114" i="13"/>
  <c r="L114" i="13"/>
  <c r="M114" i="13"/>
  <c r="N114" i="13"/>
  <c r="O114" i="13"/>
  <c r="H114" i="13"/>
  <c r="D6" i="8" s="1"/>
  <c r="J295" i="3" l="1"/>
  <c r="F29" i="7" s="1"/>
  <c r="L276" i="3"/>
  <c r="C33" i="8"/>
  <c r="I950" i="13"/>
  <c r="J950" i="13"/>
  <c r="K950" i="13"/>
  <c r="L950" i="13"/>
  <c r="M950" i="13"/>
  <c r="N950" i="13"/>
  <c r="O950" i="13"/>
  <c r="H950" i="13"/>
  <c r="C35" i="8"/>
  <c r="I853" i="13"/>
  <c r="E35" i="8" s="1"/>
  <c r="J853" i="13"/>
  <c r="F35" i="8" s="1"/>
  <c r="K853" i="13"/>
  <c r="L853" i="13"/>
  <c r="M853" i="13"/>
  <c r="N853" i="13"/>
  <c r="O853" i="13"/>
  <c r="H853" i="13"/>
  <c r="D35" i="8" s="1"/>
  <c r="E33" i="8" l="1"/>
  <c r="D33" i="8"/>
  <c r="F33" i="8"/>
  <c r="C19" i="8"/>
  <c r="O373" i="13"/>
  <c r="L372" i="13"/>
  <c r="L367" i="13"/>
  <c r="I373" i="13"/>
  <c r="E19" i="8" s="1"/>
  <c r="K373" i="13"/>
  <c r="N373" i="13"/>
  <c r="H373" i="13"/>
  <c r="D19" i="8" s="1"/>
  <c r="J366" i="13"/>
  <c r="M366" i="13" s="1"/>
  <c r="M365" i="13"/>
  <c r="M364" i="13"/>
  <c r="M363" i="13"/>
  <c r="M362" i="13"/>
  <c r="M361" i="13"/>
  <c r="M360" i="13"/>
  <c r="J359" i="13"/>
  <c r="M359" i="13" s="1"/>
  <c r="J358" i="13"/>
  <c r="M358" i="13" s="1"/>
  <c r="J357" i="13"/>
  <c r="M357" i="13" s="1"/>
  <c r="J356" i="13"/>
  <c r="M356" i="13" s="1"/>
  <c r="J355" i="13"/>
  <c r="M355" i="13" s="1"/>
  <c r="J354" i="13"/>
  <c r="M354" i="13" s="1"/>
  <c r="J353" i="13"/>
  <c r="M353" i="13" s="1"/>
  <c r="J352" i="13"/>
  <c r="M352" i="13" s="1"/>
  <c r="J351" i="13"/>
  <c r="M351" i="13" s="1"/>
  <c r="J350" i="13"/>
  <c r="M350" i="13" s="1"/>
  <c r="J349" i="13"/>
  <c r="M349" i="13" s="1"/>
  <c r="J348" i="13"/>
  <c r="M348" i="13" s="1"/>
  <c r="M347" i="13"/>
  <c r="L373" i="13" l="1"/>
  <c r="J373" i="13"/>
  <c r="F19" i="8" s="1"/>
  <c r="M373" i="13"/>
  <c r="C33" i="7" l="1"/>
  <c r="N247" i="3"/>
  <c r="O247" i="3"/>
  <c r="H241" i="3"/>
  <c r="J241" i="3" s="1"/>
  <c r="H240" i="3"/>
  <c r="J240" i="3" s="1"/>
  <c r="H239" i="3"/>
  <c r="J239" i="3" s="1"/>
  <c r="H238" i="3"/>
  <c r="J238" i="3" s="1"/>
  <c r="H237" i="3"/>
  <c r="J237" i="3" s="1"/>
  <c r="H236" i="3"/>
  <c r="J236" i="3" s="1"/>
  <c r="M235" i="3"/>
  <c r="L235" i="3"/>
  <c r="H235" i="3"/>
  <c r="J235" i="3" s="1"/>
  <c r="M234" i="3"/>
  <c r="L234" i="3"/>
  <c r="H234" i="3"/>
  <c r="J234" i="3" s="1"/>
  <c r="K234" i="3" s="1"/>
  <c r="H233" i="3"/>
  <c r="J233" i="3" s="1"/>
  <c r="H232" i="3"/>
  <c r="J232" i="3" s="1"/>
  <c r="L231" i="3"/>
  <c r="H231" i="3"/>
  <c r="J231" i="3" s="1"/>
  <c r="K231" i="3" s="1"/>
  <c r="H230" i="3"/>
  <c r="J230" i="3" s="1"/>
  <c r="L229" i="3"/>
  <c r="I229" i="3"/>
  <c r="H229" i="3"/>
  <c r="M228" i="3"/>
  <c r="I228" i="3"/>
  <c r="H228" i="3"/>
  <c r="M227" i="3"/>
  <c r="L227" i="3"/>
  <c r="I227" i="3"/>
  <c r="H227" i="3"/>
  <c r="I226" i="3"/>
  <c r="H226" i="3"/>
  <c r="I225" i="3"/>
  <c r="H225" i="3"/>
  <c r="I224" i="3"/>
  <c r="H224" i="3"/>
  <c r="I223" i="3"/>
  <c r="H223" i="3"/>
  <c r="L222" i="3"/>
  <c r="I222" i="3"/>
  <c r="H222" i="3"/>
  <c r="L221" i="3"/>
  <c r="I221" i="3"/>
  <c r="H221" i="3"/>
  <c r="I220" i="3"/>
  <c r="H220" i="3"/>
  <c r="L219" i="3"/>
  <c r="I219" i="3"/>
  <c r="H219" i="3"/>
  <c r="I218" i="3"/>
  <c r="H218" i="3"/>
  <c r="L217" i="3"/>
  <c r="I217" i="3"/>
  <c r="H217" i="3"/>
  <c r="L216" i="3"/>
  <c r="I216" i="3"/>
  <c r="H216" i="3"/>
  <c r="I215" i="3"/>
  <c r="H215" i="3"/>
  <c r="I214" i="3"/>
  <c r="H214" i="3"/>
  <c r="I213" i="3"/>
  <c r="H213" i="3"/>
  <c r="J216" i="3" l="1"/>
  <c r="K216" i="3" s="1"/>
  <c r="J219" i="3"/>
  <c r="K219" i="3" s="1"/>
  <c r="J222" i="3"/>
  <c r="K222" i="3" s="1"/>
  <c r="J220" i="3"/>
  <c r="M247" i="3"/>
  <c r="J229" i="3"/>
  <c r="K229" i="3" s="1"/>
  <c r="I247" i="3"/>
  <c r="E33" i="7" s="1"/>
  <c r="J224" i="3"/>
  <c r="J226" i="3"/>
  <c r="H247" i="3"/>
  <c r="D33" i="7" s="1"/>
  <c r="J218" i="3"/>
  <c r="L247" i="3"/>
  <c r="J214" i="3"/>
  <c r="J215" i="3"/>
  <c r="J227" i="3"/>
  <c r="K227" i="3" s="1"/>
  <c r="J213" i="3"/>
  <c r="J217" i="3"/>
  <c r="K217" i="3" s="1"/>
  <c r="J221" i="3"/>
  <c r="K221" i="3" s="1"/>
  <c r="J223" i="3"/>
  <c r="J225" i="3"/>
  <c r="J228" i="3"/>
  <c r="K228" i="3" s="1"/>
  <c r="K247" i="3" l="1"/>
  <c r="J247" i="3"/>
  <c r="F33" i="7" s="1"/>
  <c r="C34" i="7"/>
  <c r="J161" i="3"/>
  <c r="J160" i="3"/>
  <c r="I162" i="3"/>
  <c r="K162" i="3"/>
  <c r="L162" i="3"/>
  <c r="M162" i="3"/>
  <c r="N162" i="3"/>
  <c r="O162" i="3"/>
  <c r="H162" i="3"/>
  <c r="C24" i="7"/>
  <c r="I254" i="3"/>
  <c r="E24" i="7" s="1"/>
  <c r="J254" i="3"/>
  <c r="F24" i="7" s="1"/>
  <c r="K254" i="3"/>
  <c r="L254" i="3"/>
  <c r="M254" i="3"/>
  <c r="N254" i="3"/>
  <c r="O254" i="3"/>
  <c r="H254" i="3"/>
  <c r="D24" i="7" s="1"/>
  <c r="E34" i="7" l="1"/>
  <c r="D34" i="7"/>
  <c r="J162" i="3"/>
  <c r="C42" i="8"/>
  <c r="I894" i="13"/>
  <c r="E42" i="8" s="1"/>
  <c r="J894" i="13"/>
  <c r="F42" i="8" s="1"/>
  <c r="K894" i="13"/>
  <c r="L894" i="13"/>
  <c r="M894" i="13"/>
  <c r="N894" i="13"/>
  <c r="O894" i="13"/>
  <c r="H894" i="13"/>
  <c r="D42" i="8" s="1"/>
  <c r="F34" i="7" l="1"/>
  <c r="C15" i="8"/>
  <c r="I10" i="13"/>
  <c r="E15" i="8" s="1"/>
  <c r="J10" i="13"/>
  <c r="F15" i="8" s="1"/>
  <c r="K10" i="13"/>
  <c r="L10" i="13"/>
  <c r="M10" i="13"/>
  <c r="N10" i="13"/>
  <c r="O10" i="13"/>
  <c r="H10" i="13"/>
  <c r="D15" i="8" s="1"/>
  <c r="C10" i="7" l="1"/>
  <c r="I63" i="3"/>
  <c r="E10" i="7" s="1"/>
  <c r="J63" i="3"/>
  <c r="F10" i="7" s="1"/>
  <c r="K63" i="3"/>
  <c r="L63" i="3"/>
  <c r="M63" i="3"/>
  <c r="N63" i="3"/>
  <c r="O63" i="3"/>
  <c r="H63" i="3"/>
  <c r="D10" i="7" s="1"/>
  <c r="G62" i="3"/>
  <c r="G61" i="3"/>
  <c r="C17" i="7" l="1"/>
  <c r="I205" i="3"/>
  <c r="E17" i="7" s="1"/>
  <c r="K205" i="3"/>
  <c r="L205" i="3"/>
  <c r="N205" i="3"/>
  <c r="O205" i="3"/>
  <c r="H205" i="3"/>
  <c r="D17" i="7" s="1"/>
  <c r="J204" i="3"/>
  <c r="M204" i="3" s="1"/>
  <c r="M205" i="3" s="1"/>
  <c r="J205" i="3" l="1"/>
  <c r="F17" i="7" s="1"/>
  <c r="C29" i="8"/>
  <c r="J658" i="13"/>
  <c r="J659" i="13"/>
  <c r="J660" i="13"/>
  <c r="J661" i="13"/>
  <c r="M661" i="13" s="1"/>
  <c r="J662" i="13"/>
  <c r="J663" i="13"/>
  <c r="L663" i="13" s="1"/>
  <c r="J664" i="13"/>
  <c r="J665" i="13"/>
  <c r="N665" i="13" s="1"/>
  <c r="J666" i="13"/>
  <c r="J667" i="13"/>
  <c r="J668" i="13"/>
  <c r="O668" i="13" s="1"/>
  <c r="J669" i="13"/>
  <c r="J670" i="13"/>
  <c r="O670" i="13" s="1"/>
  <c r="J671" i="13"/>
  <c r="L671" i="13" s="1"/>
  <c r="J672" i="13"/>
  <c r="J673" i="13"/>
  <c r="N673" i="13" s="1"/>
  <c r="J674" i="13"/>
  <c r="J675" i="13"/>
  <c r="J676" i="13"/>
  <c r="O676" i="13" s="1"/>
  <c r="J677" i="13"/>
  <c r="J678" i="13"/>
  <c r="J679" i="13"/>
  <c r="L679" i="13" s="1"/>
  <c r="J680" i="13"/>
  <c r="J681" i="13"/>
  <c r="N681" i="13" s="1"/>
  <c r="J682" i="13"/>
  <c r="J683" i="13"/>
  <c r="J684" i="13"/>
  <c r="O684" i="13" s="1"/>
  <c r="J685" i="13"/>
  <c r="J686" i="13"/>
  <c r="O686" i="13" s="1"/>
  <c r="J687" i="13"/>
  <c r="L687" i="13" s="1"/>
  <c r="J688" i="13"/>
  <c r="J689" i="13"/>
  <c r="N689" i="13" s="1"/>
  <c r="J690" i="13"/>
  <c r="J691" i="13"/>
  <c r="J692" i="13"/>
  <c r="O692" i="13" s="1"/>
  <c r="J693" i="13"/>
  <c r="J694" i="13"/>
  <c r="J695" i="13"/>
  <c r="L695" i="13" s="1"/>
  <c r="J696" i="13"/>
  <c r="J697" i="13"/>
  <c r="N697" i="13" s="1"/>
  <c r="J698" i="13"/>
  <c r="J699" i="13"/>
  <c r="J700" i="13"/>
  <c r="O700" i="13" s="1"/>
  <c r="J701" i="13"/>
  <c r="J702" i="13"/>
  <c r="O702" i="13" s="1"/>
  <c r="J703" i="13"/>
  <c r="L703" i="13" s="1"/>
  <c r="J704" i="13"/>
  <c r="J705" i="13"/>
  <c r="N705" i="13" s="1"/>
  <c r="J706" i="13"/>
  <c r="J707" i="13"/>
  <c r="J708" i="13"/>
  <c r="O708" i="13" s="1"/>
  <c r="J709" i="13"/>
  <c r="J710" i="13"/>
  <c r="J711" i="13"/>
  <c r="L711" i="13" s="1"/>
  <c r="J712" i="13"/>
  <c r="J713" i="13"/>
  <c r="N713" i="13" s="1"/>
  <c r="J714" i="13"/>
  <c r="J715" i="13"/>
  <c r="J716" i="13"/>
  <c r="O716" i="13" s="1"/>
  <c r="J717" i="13"/>
  <c r="J718" i="13"/>
  <c r="O718" i="13" s="1"/>
  <c r="J719" i="13"/>
  <c r="L719" i="13" s="1"/>
  <c r="J720" i="13"/>
  <c r="J721" i="13"/>
  <c r="N721" i="13" s="1"/>
  <c r="J722" i="13"/>
  <c r="J723" i="13"/>
  <c r="J724" i="13"/>
  <c r="O724" i="13" s="1"/>
  <c r="J725" i="13"/>
  <c r="J726" i="13"/>
  <c r="J727" i="13"/>
  <c r="L727" i="13" s="1"/>
  <c r="J728" i="13"/>
  <c r="J729" i="13"/>
  <c r="J730" i="13"/>
  <c r="J731" i="13"/>
  <c r="J732" i="13"/>
  <c r="M732" i="13" s="1"/>
  <c r="J733" i="13"/>
  <c r="J734" i="13"/>
  <c r="O734" i="13" s="1"/>
  <c r="J735" i="13"/>
  <c r="L735" i="13" s="1"/>
  <c r="J736" i="13"/>
  <c r="O736" i="13" s="1"/>
  <c r="J737" i="13"/>
  <c r="O737" i="13" s="1"/>
  <c r="J738" i="13"/>
  <c r="M738" i="13" s="1"/>
  <c r="J739" i="13"/>
  <c r="N739" i="13" s="1"/>
  <c r="J740" i="13"/>
  <c r="J741" i="13"/>
  <c r="N741" i="13" s="1"/>
  <c r="J742" i="13"/>
  <c r="J743" i="13"/>
  <c r="O743" i="13" s="1"/>
  <c r="J744" i="13"/>
  <c r="O744" i="13" s="1"/>
  <c r="J745" i="13"/>
  <c r="N745" i="13" s="1"/>
  <c r="J746" i="13"/>
  <c r="O746" i="13" s="1"/>
  <c r="J747" i="13"/>
  <c r="J748" i="13"/>
  <c r="M748" i="13" s="1"/>
  <c r="J749" i="13"/>
  <c r="J750" i="13"/>
  <c r="M750" i="13" s="1"/>
  <c r="J751" i="13"/>
  <c r="L751" i="13" s="1"/>
  <c r="J752" i="13"/>
  <c r="O752" i="13" s="1"/>
  <c r="J753" i="13"/>
  <c r="O753" i="13" s="1"/>
  <c r="J754" i="13"/>
  <c r="J755" i="13"/>
  <c r="J756" i="13"/>
  <c r="J757" i="13"/>
  <c r="N757" i="13" s="1"/>
  <c r="J758" i="13"/>
  <c r="J759" i="13"/>
  <c r="O759" i="13" s="1"/>
  <c r="J760" i="13"/>
  <c r="O760" i="13" s="1"/>
  <c r="J761" i="13"/>
  <c r="J762" i="13"/>
  <c r="J763" i="13"/>
  <c r="J764" i="13"/>
  <c r="M764" i="13" s="1"/>
  <c r="J765" i="13"/>
  <c r="J766" i="13"/>
  <c r="O766" i="13" s="1"/>
  <c r="J767" i="13"/>
  <c r="L767" i="13" s="1"/>
  <c r="J768" i="13"/>
  <c r="O768" i="13" s="1"/>
  <c r="J769" i="13"/>
  <c r="N769" i="13" s="1"/>
  <c r="J770" i="13"/>
  <c r="O770" i="13" s="1"/>
  <c r="J771" i="13"/>
  <c r="J772" i="13"/>
  <c r="O772" i="13" s="1"/>
  <c r="J773" i="13"/>
  <c r="N773" i="13" s="1"/>
  <c r="J774" i="13"/>
  <c r="J775" i="13"/>
  <c r="L775" i="13" s="1"/>
  <c r="J776" i="13"/>
  <c r="M776" i="13" s="1"/>
  <c r="J657" i="13"/>
  <c r="O657" i="13" s="1"/>
  <c r="I777" i="13"/>
  <c r="E29" i="8" s="1"/>
  <c r="K777" i="13"/>
  <c r="H777" i="13"/>
  <c r="D29" i="8" s="1"/>
  <c r="O673" i="13" l="1"/>
  <c r="L743" i="13"/>
  <c r="O689" i="13"/>
  <c r="M743" i="13"/>
  <c r="O705" i="13"/>
  <c r="L759" i="13"/>
  <c r="O769" i="13"/>
  <c r="O741" i="13"/>
  <c r="O721" i="13"/>
  <c r="N756" i="13"/>
  <c r="O756" i="13"/>
  <c r="N740" i="13"/>
  <c r="O740" i="13"/>
  <c r="M728" i="13"/>
  <c r="N728" i="13"/>
  <c r="O712" i="13"/>
  <c r="M712" i="13"/>
  <c r="N712" i="13"/>
  <c r="O704" i="13"/>
  <c r="M704" i="13"/>
  <c r="N704" i="13"/>
  <c r="O696" i="13"/>
  <c r="M696" i="13"/>
  <c r="N696" i="13"/>
  <c r="O688" i="13"/>
  <c r="M688" i="13"/>
  <c r="N688" i="13"/>
  <c r="O680" i="13"/>
  <c r="M680" i="13"/>
  <c r="N680" i="13"/>
  <c r="O672" i="13"/>
  <c r="M672" i="13"/>
  <c r="N672" i="13"/>
  <c r="O664" i="13"/>
  <c r="M664" i="13"/>
  <c r="N664" i="13"/>
  <c r="J777" i="13"/>
  <c r="F29" i="8" s="1"/>
  <c r="O660" i="13"/>
  <c r="M768" i="13"/>
  <c r="N764" i="13"/>
  <c r="M736" i="13"/>
  <c r="N732" i="13"/>
  <c r="O728" i="13"/>
  <c r="M724" i="13"/>
  <c r="M708" i="13"/>
  <c r="M692" i="13"/>
  <c r="M676" i="13"/>
  <c r="M660" i="13"/>
  <c r="N775" i="13"/>
  <c r="O775" i="13"/>
  <c r="N771" i="13"/>
  <c r="O771" i="13"/>
  <c r="O767" i="13"/>
  <c r="M767" i="13"/>
  <c r="N767" i="13"/>
  <c r="O763" i="13"/>
  <c r="N763" i="13"/>
  <c r="O755" i="13"/>
  <c r="M755" i="13"/>
  <c r="O751" i="13"/>
  <c r="M751" i="13"/>
  <c r="N751" i="13"/>
  <c r="O747" i="13"/>
  <c r="N747" i="13"/>
  <c r="O739" i="13"/>
  <c r="M739" i="13"/>
  <c r="O735" i="13"/>
  <c r="M735" i="13"/>
  <c r="N735" i="13"/>
  <c r="O731" i="13"/>
  <c r="N731" i="13"/>
  <c r="O727" i="13"/>
  <c r="N727" i="13"/>
  <c r="O723" i="13"/>
  <c r="N723" i="13"/>
  <c r="M723" i="13"/>
  <c r="O719" i="13"/>
  <c r="N719" i="13"/>
  <c r="O715" i="13"/>
  <c r="N715" i="13"/>
  <c r="M715" i="13"/>
  <c r="O711" i="13"/>
  <c r="N711" i="13"/>
  <c r="O707" i="13"/>
  <c r="N707" i="13"/>
  <c r="M707" i="13"/>
  <c r="O703" i="13"/>
  <c r="N703" i="13"/>
  <c r="O699" i="13"/>
  <c r="N699" i="13"/>
  <c r="M699" i="13"/>
  <c r="O695" i="13"/>
  <c r="N695" i="13"/>
  <c r="O691" i="13"/>
  <c r="N691" i="13"/>
  <c r="M691" i="13"/>
  <c r="O687" i="13"/>
  <c r="N687" i="13"/>
  <c r="O683" i="13"/>
  <c r="N683" i="13"/>
  <c r="M683" i="13"/>
  <c r="O679" i="13"/>
  <c r="N679" i="13"/>
  <c r="O675" i="13"/>
  <c r="N675" i="13"/>
  <c r="M675" i="13"/>
  <c r="O671" i="13"/>
  <c r="N671" i="13"/>
  <c r="O667" i="13"/>
  <c r="N667" i="13"/>
  <c r="M667" i="13"/>
  <c r="O663" i="13"/>
  <c r="N663" i="13"/>
  <c r="O659" i="13"/>
  <c r="N659" i="13"/>
  <c r="M659" i="13"/>
  <c r="L772" i="13"/>
  <c r="L764" i="13"/>
  <c r="L756" i="13"/>
  <c r="L748" i="13"/>
  <c r="L740" i="13"/>
  <c r="L732" i="13"/>
  <c r="L724" i="13"/>
  <c r="L716" i="13"/>
  <c r="L708" i="13"/>
  <c r="L700" i="13"/>
  <c r="L692" i="13"/>
  <c r="L684" i="13"/>
  <c r="L676" i="13"/>
  <c r="L668" i="13"/>
  <c r="L660" i="13"/>
  <c r="M775" i="13"/>
  <c r="N772" i="13"/>
  <c r="M763" i="13"/>
  <c r="N759" i="13"/>
  <c r="M756" i="13"/>
  <c r="N752" i="13"/>
  <c r="O748" i="13"/>
  <c r="M774" i="13"/>
  <c r="N774" i="13"/>
  <c r="L774" i="13"/>
  <c r="M770" i="13"/>
  <c r="N770" i="13"/>
  <c r="L770" i="13"/>
  <c r="N766" i="13"/>
  <c r="L766" i="13"/>
  <c r="N762" i="13"/>
  <c r="M762" i="13"/>
  <c r="L762" i="13"/>
  <c r="N758" i="13"/>
  <c r="M758" i="13"/>
  <c r="O758" i="13"/>
  <c r="L758" i="13"/>
  <c r="N754" i="13"/>
  <c r="O754" i="13"/>
  <c r="L754" i="13"/>
  <c r="N750" i="13"/>
  <c r="L750" i="13"/>
  <c r="N746" i="13"/>
  <c r="M746" i="13"/>
  <c r="L746" i="13"/>
  <c r="N742" i="13"/>
  <c r="M742" i="13"/>
  <c r="O742" i="13"/>
  <c r="L742" i="13"/>
  <c r="N738" i="13"/>
  <c r="O738" i="13"/>
  <c r="L738" i="13"/>
  <c r="N734" i="13"/>
  <c r="L734" i="13"/>
  <c r="N730" i="13"/>
  <c r="M730" i="13"/>
  <c r="L730" i="13"/>
  <c r="N726" i="13"/>
  <c r="M726" i="13"/>
  <c r="L726" i="13"/>
  <c r="N722" i="13"/>
  <c r="M722" i="13"/>
  <c r="O722" i="13"/>
  <c r="L722" i="13"/>
  <c r="N718" i="13"/>
  <c r="M718" i="13"/>
  <c r="L718" i="13"/>
  <c r="N714" i="13"/>
  <c r="M714" i="13"/>
  <c r="O714" i="13"/>
  <c r="L714" i="13"/>
  <c r="N710" i="13"/>
  <c r="M710" i="13"/>
  <c r="L710" i="13"/>
  <c r="N706" i="13"/>
  <c r="M706" i="13"/>
  <c r="O706" i="13"/>
  <c r="L706" i="13"/>
  <c r="N702" i="13"/>
  <c r="M702" i="13"/>
  <c r="L702" i="13"/>
  <c r="N698" i="13"/>
  <c r="M698" i="13"/>
  <c r="O698" i="13"/>
  <c r="L698" i="13"/>
  <c r="N694" i="13"/>
  <c r="M694" i="13"/>
  <c r="L694" i="13"/>
  <c r="N690" i="13"/>
  <c r="M690" i="13"/>
  <c r="O690" i="13"/>
  <c r="L690" i="13"/>
  <c r="N686" i="13"/>
  <c r="M686" i="13"/>
  <c r="L686" i="13"/>
  <c r="N682" i="13"/>
  <c r="M682" i="13"/>
  <c r="O682" i="13"/>
  <c r="L682" i="13"/>
  <c r="N678" i="13"/>
  <c r="M678" i="13"/>
  <c r="L678" i="13"/>
  <c r="N674" i="13"/>
  <c r="M674" i="13"/>
  <c r="O674" i="13"/>
  <c r="L674" i="13"/>
  <c r="N670" i="13"/>
  <c r="M670" i="13"/>
  <c r="L670" i="13"/>
  <c r="N666" i="13"/>
  <c r="M666" i="13"/>
  <c r="O666" i="13"/>
  <c r="L666" i="13"/>
  <c r="N662" i="13"/>
  <c r="M662" i="13"/>
  <c r="L662" i="13"/>
  <c r="N658" i="13"/>
  <c r="M658" i="13"/>
  <c r="O658" i="13"/>
  <c r="L658" i="13"/>
  <c r="L771" i="13"/>
  <c r="L763" i="13"/>
  <c r="L755" i="13"/>
  <c r="L747" i="13"/>
  <c r="L739" i="13"/>
  <c r="L731" i="13"/>
  <c r="L723" i="13"/>
  <c r="L715" i="13"/>
  <c r="L707" i="13"/>
  <c r="L699" i="13"/>
  <c r="L691" i="13"/>
  <c r="L683" i="13"/>
  <c r="L675" i="13"/>
  <c r="L667" i="13"/>
  <c r="L659" i="13"/>
  <c r="O774" i="13"/>
  <c r="M772" i="13"/>
  <c r="M766" i="13"/>
  <c r="O762" i="13"/>
  <c r="M759" i="13"/>
  <c r="N755" i="13"/>
  <c r="M752" i="13"/>
  <c r="N748" i="13"/>
  <c r="M734" i="13"/>
  <c r="O730" i="13"/>
  <c r="O726" i="13"/>
  <c r="M716" i="13"/>
  <c r="O710" i="13"/>
  <c r="M700" i="13"/>
  <c r="O694" i="13"/>
  <c r="M684" i="13"/>
  <c r="O678" i="13"/>
  <c r="M668" i="13"/>
  <c r="O662" i="13"/>
  <c r="N776" i="13"/>
  <c r="M760" i="13"/>
  <c r="N760" i="13"/>
  <c r="M744" i="13"/>
  <c r="N744" i="13"/>
  <c r="O720" i="13"/>
  <c r="M720" i="13"/>
  <c r="N720" i="13"/>
  <c r="M731" i="13"/>
  <c r="M727" i="13"/>
  <c r="N716" i="13"/>
  <c r="M711" i="13"/>
  <c r="N700" i="13"/>
  <c r="M695" i="13"/>
  <c r="N684" i="13"/>
  <c r="M679" i="13"/>
  <c r="N668" i="13"/>
  <c r="M663" i="13"/>
  <c r="O776" i="13"/>
  <c r="M657" i="13"/>
  <c r="L657" i="13"/>
  <c r="L773" i="13"/>
  <c r="M773" i="13"/>
  <c r="L769" i="13"/>
  <c r="M769" i="13"/>
  <c r="M765" i="13"/>
  <c r="N765" i="13"/>
  <c r="L765" i="13"/>
  <c r="O765" i="13"/>
  <c r="M761" i="13"/>
  <c r="O761" i="13"/>
  <c r="L761" i="13"/>
  <c r="M757" i="13"/>
  <c r="L757" i="13"/>
  <c r="M753" i="13"/>
  <c r="L753" i="13"/>
  <c r="N753" i="13"/>
  <c r="M749" i="13"/>
  <c r="N749" i="13"/>
  <c r="L749" i="13"/>
  <c r="O749" i="13"/>
  <c r="M745" i="13"/>
  <c r="O745" i="13"/>
  <c r="L745" i="13"/>
  <c r="M741" i="13"/>
  <c r="L741" i="13"/>
  <c r="M737" i="13"/>
  <c r="L737" i="13"/>
  <c r="N737" i="13"/>
  <c r="M733" i="13"/>
  <c r="N733" i="13"/>
  <c r="L733" i="13"/>
  <c r="O733" i="13"/>
  <c r="M729" i="13"/>
  <c r="O729" i="13"/>
  <c r="L729" i="13"/>
  <c r="M725" i="13"/>
  <c r="N725" i="13"/>
  <c r="L725" i="13"/>
  <c r="O725" i="13"/>
  <c r="M721" i="13"/>
  <c r="L721" i="13"/>
  <c r="M717" i="13"/>
  <c r="N717" i="13"/>
  <c r="L717" i="13"/>
  <c r="O717" i="13"/>
  <c r="M713" i="13"/>
  <c r="L713" i="13"/>
  <c r="M709" i="13"/>
  <c r="N709" i="13"/>
  <c r="L709" i="13"/>
  <c r="O709" i="13"/>
  <c r="M705" i="13"/>
  <c r="L705" i="13"/>
  <c r="M701" i="13"/>
  <c r="N701" i="13"/>
  <c r="L701" i="13"/>
  <c r="O701" i="13"/>
  <c r="M697" i="13"/>
  <c r="L697" i="13"/>
  <c r="M693" i="13"/>
  <c r="N693" i="13"/>
  <c r="L693" i="13"/>
  <c r="O693" i="13"/>
  <c r="M689" i="13"/>
  <c r="L689" i="13"/>
  <c r="M685" i="13"/>
  <c r="N685" i="13"/>
  <c r="L685" i="13"/>
  <c r="O685" i="13"/>
  <c r="M681" i="13"/>
  <c r="L681" i="13"/>
  <c r="M677" i="13"/>
  <c r="N677" i="13"/>
  <c r="L677" i="13"/>
  <c r="O677" i="13"/>
  <c r="M673" i="13"/>
  <c r="L673" i="13"/>
  <c r="M669" i="13"/>
  <c r="N669" i="13"/>
  <c r="L669" i="13"/>
  <c r="O669" i="13"/>
  <c r="M665" i="13"/>
  <c r="L665" i="13"/>
  <c r="L776" i="13"/>
  <c r="L768" i="13"/>
  <c r="L760" i="13"/>
  <c r="L752" i="13"/>
  <c r="L744" i="13"/>
  <c r="L736" i="13"/>
  <c r="L728" i="13"/>
  <c r="L720" i="13"/>
  <c r="L712" i="13"/>
  <c r="L704" i="13"/>
  <c r="L696" i="13"/>
  <c r="L688" i="13"/>
  <c r="L680" i="13"/>
  <c r="L672" i="13"/>
  <c r="L664" i="13"/>
  <c r="N657" i="13"/>
  <c r="O773" i="13"/>
  <c r="M771" i="13"/>
  <c r="N768" i="13"/>
  <c r="O764" i="13"/>
  <c r="N761" i="13"/>
  <c r="O757" i="13"/>
  <c r="M754" i="13"/>
  <c r="O750" i="13"/>
  <c r="M747" i="13"/>
  <c r="N743" i="13"/>
  <c r="M740" i="13"/>
  <c r="N736" i="13"/>
  <c r="O732" i="13"/>
  <c r="N729" i="13"/>
  <c r="N724" i="13"/>
  <c r="M719" i="13"/>
  <c r="O713" i="13"/>
  <c r="N708" i="13"/>
  <c r="M703" i="13"/>
  <c r="O697" i="13"/>
  <c r="N692" i="13"/>
  <c r="M687" i="13"/>
  <c r="O681" i="13"/>
  <c r="N676" i="13"/>
  <c r="M671" i="13"/>
  <c r="O665" i="13"/>
  <c r="N660" i="13"/>
  <c r="O661" i="13"/>
  <c r="L661" i="13"/>
  <c r="N661" i="13"/>
  <c r="C13" i="7"/>
  <c r="I201" i="3"/>
  <c r="E13" i="7" s="1"/>
  <c r="H201" i="3"/>
  <c r="D13" i="7" s="1"/>
  <c r="O199" i="3"/>
  <c r="J200" i="3"/>
  <c r="K200" i="3" s="1"/>
  <c r="M200" i="3" s="1"/>
  <c r="N200" i="3" s="1"/>
  <c r="O200" i="3" s="1"/>
  <c r="J198" i="3"/>
  <c r="K198" i="3" s="1"/>
  <c r="M198" i="3" s="1"/>
  <c r="N198" i="3" s="1"/>
  <c r="O198" i="3" s="1"/>
  <c r="J197" i="3"/>
  <c r="K197" i="3" s="1"/>
  <c r="M197" i="3" s="1"/>
  <c r="N197" i="3" s="1"/>
  <c r="O197" i="3" s="1"/>
  <c r="J196" i="3"/>
  <c r="K196" i="3" s="1"/>
  <c r="M196" i="3" s="1"/>
  <c r="N196" i="3" s="1"/>
  <c r="O196" i="3" s="1"/>
  <c r="J195" i="3"/>
  <c r="K195" i="3" s="1"/>
  <c r="M195" i="3" s="1"/>
  <c r="N195" i="3" s="1"/>
  <c r="O195" i="3" s="1"/>
  <c r="J194" i="3"/>
  <c r="K194" i="3" s="1"/>
  <c r="M194" i="3" s="1"/>
  <c r="N194" i="3" s="1"/>
  <c r="O194" i="3" s="1"/>
  <c r="J193" i="3"/>
  <c r="K193" i="3" s="1"/>
  <c r="M193" i="3" s="1"/>
  <c r="N193" i="3" s="1"/>
  <c r="O193" i="3" s="1"/>
  <c r="J192" i="3"/>
  <c r="K192" i="3" s="1"/>
  <c r="M192" i="3" s="1"/>
  <c r="N192" i="3" s="1"/>
  <c r="O192" i="3" s="1"/>
  <c r="J191" i="3"/>
  <c r="K191" i="3" s="1"/>
  <c r="M191" i="3" s="1"/>
  <c r="J190" i="3"/>
  <c r="K190" i="3" s="1"/>
  <c r="M190" i="3" s="1"/>
  <c r="M189" i="3"/>
  <c r="J189" i="3"/>
  <c r="J188" i="3"/>
  <c r="K188" i="3" s="1"/>
  <c r="L188" i="3" s="1"/>
  <c r="M188" i="3" s="1"/>
  <c r="N188" i="3" s="1"/>
  <c r="O188" i="3" s="1"/>
  <c r="J187" i="3"/>
  <c r="K187" i="3" s="1"/>
  <c r="M187" i="3" s="1"/>
  <c r="O201" i="3" l="1"/>
  <c r="L201" i="3"/>
  <c r="M201" i="3"/>
  <c r="N201" i="3"/>
  <c r="J201" i="3"/>
  <c r="F13" i="7" s="1"/>
  <c r="K201" i="3"/>
  <c r="O777" i="13"/>
  <c r="M777" i="13"/>
  <c r="L777" i="13"/>
  <c r="N777" i="13"/>
  <c r="F16" i="7" l="1"/>
  <c r="F30" i="8"/>
  <c r="C26" i="7" l="1"/>
  <c r="K184" i="3"/>
  <c r="H184" i="3"/>
  <c r="D26" i="7" s="1"/>
  <c r="L183" i="3"/>
  <c r="M183" i="3" s="1"/>
  <c r="N183" i="3" s="1"/>
  <c r="O183" i="3" s="1"/>
  <c r="L182" i="3"/>
  <c r="M182" i="3" s="1"/>
  <c r="N182" i="3" s="1"/>
  <c r="O182" i="3" s="1"/>
  <c r="J181" i="3"/>
  <c r="L181" i="3" s="1"/>
  <c r="M181" i="3" s="1"/>
  <c r="N181" i="3" s="1"/>
  <c r="O181" i="3" s="1"/>
  <c r="N180" i="3"/>
  <c r="O180" i="3" s="1"/>
  <c r="J180" i="3"/>
  <c r="N179" i="3"/>
  <c r="O179" i="3" s="1"/>
  <c r="J179" i="3"/>
  <c r="N178" i="3"/>
  <c r="O178" i="3" s="1"/>
  <c r="J178" i="3"/>
  <c r="I178" i="3" s="1"/>
  <c r="I184" i="3" s="1"/>
  <c r="E26" i="7" s="1"/>
  <c r="J167" i="3"/>
  <c r="N167" i="3" s="1"/>
  <c r="O167" i="3" s="1"/>
  <c r="C16" i="7"/>
  <c r="O156" i="3"/>
  <c r="O157" i="3" s="1"/>
  <c r="N156" i="3"/>
  <c r="N157" i="3" s="1"/>
  <c r="O184" i="3" l="1"/>
  <c r="L184" i="3"/>
  <c r="J184" i="3"/>
  <c r="F26" i="7" s="1"/>
  <c r="M184" i="3"/>
  <c r="N184" i="3"/>
  <c r="C44" i="7"/>
  <c r="I153" i="3"/>
  <c r="E44" i="7" s="1"/>
  <c r="K153" i="3"/>
  <c r="L153" i="3"/>
  <c r="H153" i="3"/>
  <c r="D44" i="7" s="1"/>
  <c r="J152" i="3"/>
  <c r="M152" i="3" s="1"/>
  <c r="O152" i="3" s="1"/>
  <c r="O153" i="3" s="1"/>
  <c r="M151" i="3"/>
  <c r="J150" i="3"/>
  <c r="N150" i="3" s="1"/>
  <c r="N153" i="3" s="1"/>
  <c r="J153" i="3" l="1"/>
  <c r="F44" i="7" s="1"/>
  <c r="M153" i="3"/>
  <c r="C23" i="7"/>
  <c r="I143" i="3"/>
  <c r="E23" i="7" s="1"/>
  <c r="J143" i="3"/>
  <c r="F23" i="7" s="1"/>
  <c r="K143" i="3"/>
  <c r="L143" i="3"/>
  <c r="M143" i="3"/>
  <c r="N143" i="3"/>
  <c r="O143" i="3"/>
  <c r="H143" i="3"/>
  <c r="D23" i="7" s="1"/>
  <c r="K127" i="3"/>
  <c r="L127" i="3"/>
  <c r="M127" i="3"/>
  <c r="N127" i="3"/>
  <c r="O127" i="3"/>
  <c r="I127" i="3"/>
  <c r="C18" i="7"/>
  <c r="J126" i="3"/>
  <c r="J125" i="3"/>
  <c r="J124" i="3"/>
  <c r="J123" i="3"/>
  <c r="J122" i="3"/>
  <c r="J121" i="3"/>
  <c r="J120" i="3"/>
  <c r="C17" i="8"/>
  <c r="I333" i="13"/>
  <c r="E17" i="8" s="1"/>
  <c r="K333" i="13"/>
  <c r="L333" i="13"/>
  <c r="M333" i="13"/>
  <c r="N333" i="13"/>
  <c r="O333" i="13"/>
  <c r="H333" i="13"/>
  <c r="D17" i="8" s="1"/>
  <c r="J332" i="13"/>
  <c r="J331" i="13"/>
  <c r="J330" i="13"/>
  <c r="J329" i="13"/>
  <c r="J328" i="13"/>
  <c r="J327" i="13"/>
  <c r="J326" i="13"/>
  <c r="J325" i="13"/>
  <c r="J324" i="13"/>
  <c r="J323" i="13"/>
  <c r="J322" i="13"/>
  <c r="J321" i="13"/>
  <c r="J320" i="13"/>
  <c r="J319" i="13"/>
  <c r="J318" i="13"/>
  <c r="J317" i="13"/>
  <c r="J316" i="13"/>
  <c r="J315" i="13"/>
  <c r="J314" i="13"/>
  <c r="J313" i="13"/>
  <c r="J312" i="13"/>
  <c r="J311" i="13"/>
  <c r="J310" i="13"/>
  <c r="J309" i="13"/>
  <c r="J308" i="13"/>
  <c r="J307" i="13"/>
  <c r="J306" i="13"/>
  <c r="J305" i="13"/>
  <c r="J304" i="13"/>
  <c r="J303" i="13"/>
  <c r="J302" i="13"/>
  <c r="J301" i="13"/>
  <c r="J300" i="13"/>
  <c r="J299" i="13"/>
  <c r="J298" i="13"/>
  <c r="J297" i="13"/>
  <c r="J296" i="13"/>
  <c r="J295" i="13"/>
  <c r="J294" i="13"/>
  <c r="J293" i="13"/>
  <c r="J292" i="13"/>
  <c r="J291" i="13"/>
  <c r="J290" i="13"/>
  <c r="J289" i="13"/>
  <c r="J288" i="13"/>
  <c r="J287" i="13"/>
  <c r="J286" i="13"/>
  <c r="J285" i="13"/>
  <c r="J284" i="13"/>
  <c r="J283" i="13"/>
  <c r="J282" i="13"/>
  <c r="J281" i="13"/>
  <c r="J280" i="13"/>
  <c r="J279" i="13"/>
  <c r="G275" i="13"/>
  <c r="G272" i="13"/>
  <c r="J333" i="13" l="1"/>
  <c r="F17" i="8" s="1"/>
  <c r="J127" i="3"/>
  <c r="C38" i="8"/>
  <c r="I866" i="13"/>
  <c r="E38" i="8" s="1"/>
  <c r="J866" i="13"/>
  <c r="F38" i="8" s="1"/>
  <c r="K866" i="13"/>
  <c r="L866" i="13"/>
  <c r="M866" i="13"/>
  <c r="N866" i="13"/>
  <c r="O866" i="13"/>
  <c r="H866" i="13"/>
  <c r="D38" i="8" s="1"/>
  <c r="F18" i="7" l="1"/>
  <c r="C40" i="8"/>
  <c r="I927" i="13"/>
  <c r="E40" i="8" s="1"/>
  <c r="J927" i="13"/>
  <c r="F40" i="8" s="1"/>
  <c r="K927" i="13"/>
  <c r="L927" i="13"/>
  <c r="M927" i="13"/>
  <c r="N927" i="13"/>
  <c r="O927" i="13"/>
  <c r="H927" i="13"/>
  <c r="D40" i="8" s="1"/>
  <c r="C5" i="8"/>
  <c r="I152" i="13"/>
  <c r="E5" i="8" s="1"/>
  <c r="J152" i="13"/>
  <c r="F5" i="8" s="1"/>
  <c r="K152" i="13"/>
  <c r="L152" i="13"/>
  <c r="M152" i="13"/>
  <c r="N152" i="13"/>
  <c r="O152" i="13"/>
  <c r="H152" i="13"/>
  <c r="D5" i="8" s="1"/>
  <c r="C22" i="8"/>
  <c r="I516" i="13"/>
  <c r="E22" i="8" s="1"/>
  <c r="J516" i="13"/>
  <c r="F22" i="8" s="1"/>
  <c r="K516" i="13"/>
  <c r="L516" i="13"/>
  <c r="M516" i="13"/>
  <c r="N516" i="13"/>
  <c r="O516" i="13"/>
  <c r="H516" i="13"/>
  <c r="D22" i="8" s="1"/>
  <c r="C36" i="7" l="1"/>
  <c r="I115" i="3"/>
  <c r="E36" i="7" s="1"/>
  <c r="J115" i="3"/>
  <c r="F36" i="7" s="1"/>
  <c r="K115" i="3"/>
  <c r="L115" i="3"/>
  <c r="M115" i="3"/>
  <c r="N115" i="3"/>
  <c r="O115" i="3"/>
  <c r="H115" i="3"/>
  <c r="D36" i="7" s="1"/>
  <c r="K107" i="3"/>
  <c r="M106" i="3"/>
  <c r="N106" i="3" s="1"/>
  <c r="O106" i="3" s="1"/>
  <c r="H105" i="3"/>
  <c r="J105" i="3" s="1"/>
  <c r="H104" i="3"/>
  <c r="J104" i="3" s="1"/>
  <c r="I103" i="3"/>
  <c r="H103" i="3"/>
  <c r="I102" i="3"/>
  <c r="H102" i="3"/>
  <c r="I101" i="3"/>
  <c r="H101" i="3"/>
  <c r="I100" i="3"/>
  <c r="H100" i="3"/>
  <c r="H99" i="3"/>
  <c r="J99" i="3" s="1"/>
  <c r="H98" i="3"/>
  <c r="J98" i="3" s="1"/>
  <c r="J101" i="3" l="1"/>
  <c r="L101" i="3" s="1"/>
  <c r="I107" i="3"/>
  <c r="E12" i="7" s="1"/>
  <c r="J100" i="3"/>
  <c r="N100" i="3" s="1"/>
  <c r="J102" i="3"/>
  <c r="O102" i="3" s="1"/>
  <c r="J103" i="3"/>
  <c r="N103" i="3" s="1"/>
  <c r="H107" i="3"/>
  <c r="D12" i="7" s="1"/>
  <c r="M99" i="3"/>
  <c r="L99" i="3"/>
  <c r="O99" i="3"/>
  <c r="N99" i="3"/>
  <c r="O104" i="3"/>
  <c r="N104" i="3"/>
  <c r="M104" i="3"/>
  <c r="L104" i="3"/>
  <c r="M98" i="3"/>
  <c r="L98" i="3"/>
  <c r="M105" i="3"/>
  <c r="L105" i="3"/>
  <c r="O105" i="3"/>
  <c r="N105" i="3"/>
  <c r="M100" i="3" l="1"/>
  <c r="L100" i="3"/>
  <c r="L102" i="3"/>
  <c r="M101" i="3"/>
  <c r="N101" i="3"/>
  <c r="O101" i="3"/>
  <c r="M102" i="3"/>
  <c r="O100" i="3"/>
  <c r="N102" i="3"/>
  <c r="N107" i="3" s="1"/>
  <c r="J107" i="3"/>
  <c r="F12" i="7" s="1"/>
  <c r="O103" i="3"/>
  <c r="M103" i="3"/>
  <c r="L103" i="3"/>
  <c r="C41" i="8"/>
  <c r="I904" i="13"/>
  <c r="E41" i="8" s="1"/>
  <c r="J904" i="13"/>
  <c r="F41" i="8" s="1"/>
  <c r="K904" i="13"/>
  <c r="L904" i="13"/>
  <c r="M904" i="13"/>
  <c r="N904" i="13"/>
  <c r="O904" i="13"/>
  <c r="H904" i="13"/>
  <c r="D41" i="8" s="1"/>
  <c r="C7" i="8"/>
  <c r="I209" i="13"/>
  <c r="E7" i="8" s="1"/>
  <c r="J209" i="13"/>
  <c r="F7" i="8" s="1"/>
  <c r="K209" i="13"/>
  <c r="L209" i="13"/>
  <c r="M209" i="13"/>
  <c r="N209" i="13"/>
  <c r="O209" i="13"/>
  <c r="H209" i="13"/>
  <c r="D7" i="8" s="1"/>
  <c r="L107" i="3" l="1"/>
  <c r="O107" i="3"/>
  <c r="M107" i="3"/>
  <c r="C21" i="8"/>
  <c r="I509" i="13"/>
  <c r="E21" i="8" s="1"/>
  <c r="J509" i="13"/>
  <c r="F21" i="8" s="1"/>
  <c r="K509" i="13"/>
  <c r="L509" i="13"/>
  <c r="M509" i="13"/>
  <c r="N509" i="13"/>
  <c r="O509" i="13"/>
  <c r="H509" i="13"/>
  <c r="D21" i="8" s="1"/>
  <c r="I95" i="3" l="1"/>
  <c r="E46" i="7" s="1"/>
  <c r="K95" i="3"/>
  <c r="H95" i="3"/>
  <c r="D46" i="7" s="1"/>
  <c r="C46" i="7"/>
  <c r="I85" i="3"/>
  <c r="E22" i="7" s="1"/>
  <c r="J85" i="3"/>
  <c r="F22" i="7" s="1"/>
  <c r="K85" i="3"/>
  <c r="L85" i="3"/>
  <c r="M85" i="3"/>
  <c r="N85" i="3"/>
  <c r="O85" i="3"/>
  <c r="H85" i="3"/>
  <c r="D22" i="7" s="1"/>
  <c r="C22" i="7"/>
  <c r="J94" i="3"/>
  <c r="M94" i="3" s="1"/>
  <c r="J93" i="3"/>
  <c r="M93" i="3" s="1"/>
  <c r="O93" i="3" s="1"/>
  <c r="J92" i="3"/>
  <c r="L92" i="3" s="1"/>
  <c r="J91" i="3"/>
  <c r="L91" i="3" s="1"/>
  <c r="J90" i="3"/>
  <c r="L90" i="3" s="1"/>
  <c r="J89" i="3"/>
  <c r="L89" i="3" s="1"/>
  <c r="J88" i="3"/>
  <c r="L88" i="3" s="1"/>
  <c r="G93" i="3"/>
  <c r="G92" i="3"/>
  <c r="M91" i="3" l="1"/>
  <c r="N94" i="3"/>
  <c r="L95" i="3"/>
  <c r="M90" i="3"/>
  <c r="O90" i="3"/>
  <c r="N90" i="3"/>
  <c r="M88" i="3"/>
  <c r="M89" i="3"/>
  <c r="N89" i="3" s="1"/>
  <c r="J95" i="3"/>
  <c r="F46" i="7" s="1"/>
  <c r="M92" i="3"/>
  <c r="N93" i="3"/>
  <c r="N92" i="3"/>
  <c r="M95" i="3" l="1"/>
  <c r="N88" i="3"/>
  <c r="N95" i="3" s="1"/>
  <c r="O92" i="3"/>
  <c r="O95" i="3" s="1"/>
  <c r="E20" i="7"/>
  <c r="F20" i="7"/>
  <c r="D20" i="7"/>
  <c r="C20" i="7"/>
  <c r="C30" i="7"/>
  <c r="I210" i="3"/>
  <c r="E30" i="7" s="1"/>
  <c r="J210" i="3"/>
  <c r="F30" i="7" s="1"/>
  <c r="K210" i="3"/>
  <c r="L210" i="3"/>
  <c r="M210" i="3"/>
  <c r="N210" i="3"/>
  <c r="O210" i="3"/>
  <c r="H210" i="3"/>
  <c r="D30" i="7" s="1"/>
  <c r="C31" i="8" l="1"/>
  <c r="K816" i="13"/>
  <c r="H816" i="13"/>
  <c r="J805" i="13"/>
  <c r="J804" i="13" s="1"/>
  <c r="O798" i="13"/>
  <c r="O797" i="13" s="1"/>
  <c r="O816" i="13" s="1"/>
  <c r="N798" i="13"/>
  <c r="N797" i="13" s="1"/>
  <c r="N816" i="13" s="1"/>
  <c r="M798" i="13"/>
  <c r="M797" i="13" s="1"/>
  <c r="M816" i="13" s="1"/>
  <c r="L798" i="13"/>
  <c r="L797" i="13" s="1"/>
  <c r="L816" i="13" s="1"/>
  <c r="J798" i="13"/>
  <c r="J797" i="13" s="1"/>
  <c r="I798" i="13"/>
  <c r="I797" i="13" s="1"/>
  <c r="I816" i="13" s="1"/>
  <c r="D31" i="8" l="1"/>
  <c r="E31" i="8"/>
  <c r="J816" i="13"/>
  <c r="C10" i="8"/>
  <c r="I97" i="13"/>
  <c r="E10" i="8" s="1"/>
  <c r="K97" i="13"/>
  <c r="L97" i="13"/>
  <c r="M97" i="13"/>
  <c r="N97" i="13"/>
  <c r="O97" i="13"/>
  <c r="H97" i="13"/>
  <c r="D10" i="8" s="1"/>
  <c r="J88" i="13"/>
  <c r="J87" i="13"/>
  <c r="J86" i="13"/>
  <c r="F31" i="8" l="1"/>
  <c r="J97" i="13"/>
  <c r="F10" i="8" s="1"/>
  <c r="C4" i="7"/>
  <c r="C47" i="7" s="1"/>
  <c r="I25" i="3"/>
  <c r="J25" i="3"/>
  <c r="K25" i="3"/>
  <c r="L25" i="3"/>
  <c r="M25" i="3"/>
  <c r="N25" i="3"/>
  <c r="O25" i="3"/>
  <c r="H25" i="3"/>
  <c r="E4" i="7" l="1"/>
  <c r="D4" i="7"/>
  <c r="F4" i="7"/>
  <c r="C34" i="8"/>
  <c r="C36" i="8"/>
  <c r="C37" i="8"/>
  <c r="C28" i="8"/>
  <c r="C30" i="8"/>
  <c r="C26" i="8"/>
  <c r="C24" i="8"/>
  <c r="C23" i="8"/>
  <c r="C20" i="8"/>
  <c r="C18" i="8"/>
  <c r="C13" i="8"/>
  <c r="C11" i="8"/>
  <c r="C12" i="8"/>
  <c r="C16" i="8"/>
  <c r="C8" i="8"/>
  <c r="C43" i="8" l="1"/>
  <c r="I591" i="13"/>
  <c r="E23" i="8" s="1"/>
  <c r="L591" i="13"/>
  <c r="M591" i="13"/>
  <c r="N591" i="13"/>
  <c r="O591" i="13"/>
  <c r="H591" i="13"/>
  <c r="D23" i="8" s="1"/>
  <c r="K530" i="13"/>
  <c r="K591" i="13" s="1"/>
  <c r="J529" i="13"/>
  <c r="J591" i="13" s="1"/>
  <c r="F23" i="8" s="1"/>
  <c r="I60" i="13" l="1"/>
  <c r="E8" i="8" s="1"/>
  <c r="K60" i="13"/>
  <c r="L60" i="13"/>
  <c r="M60" i="13"/>
  <c r="N60" i="13"/>
  <c r="O60" i="13"/>
  <c r="H60" i="13"/>
  <c r="D8" i="8" s="1"/>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60" i="13" l="1"/>
  <c r="F8" i="8" s="1"/>
  <c r="I609" i="13"/>
  <c r="E24" i="8" s="1"/>
  <c r="J609" i="13"/>
  <c r="F24" i="8" s="1"/>
  <c r="K609" i="13"/>
  <c r="L609" i="13"/>
  <c r="M609" i="13"/>
  <c r="N609" i="13"/>
  <c r="O609" i="13"/>
  <c r="H609" i="13"/>
  <c r="D24" i="8" s="1"/>
  <c r="I654" i="13" l="1"/>
  <c r="E28" i="8" s="1"/>
  <c r="J654" i="13"/>
  <c r="F28" i="8" s="1"/>
  <c r="K654" i="13"/>
  <c r="L654" i="13"/>
  <c r="M654" i="13"/>
  <c r="N654" i="13"/>
  <c r="O654" i="13"/>
  <c r="H654" i="13"/>
  <c r="D28" i="8" s="1"/>
  <c r="I914" i="13"/>
  <c r="E34" i="8" s="1"/>
  <c r="J914" i="13"/>
  <c r="F34" i="8" s="1"/>
  <c r="K914" i="13"/>
  <c r="L914" i="13"/>
  <c r="M914" i="13"/>
  <c r="N914" i="13"/>
  <c r="O914" i="13"/>
  <c r="H914" i="13"/>
  <c r="D34" i="8" s="1"/>
  <c r="I837" i="13" l="1"/>
  <c r="J837" i="13"/>
  <c r="K837" i="13"/>
  <c r="L837" i="13"/>
  <c r="M837" i="13"/>
  <c r="N837" i="13"/>
  <c r="O837" i="13"/>
  <c r="H837" i="13"/>
  <c r="I378" i="13"/>
  <c r="E20" i="8" s="1"/>
  <c r="J378" i="13"/>
  <c r="F20" i="8" s="1"/>
  <c r="K378" i="13"/>
  <c r="L378" i="13"/>
  <c r="M378" i="13"/>
  <c r="N378" i="13"/>
  <c r="O378" i="13"/>
  <c r="H378" i="13"/>
  <c r="D20" i="8" s="1"/>
  <c r="I218" i="13"/>
  <c r="E11" i="8" s="1"/>
  <c r="J218" i="13"/>
  <c r="F11" i="8" s="1"/>
  <c r="K218" i="13"/>
  <c r="L218" i="13"/>
  <c r="M218" i="13"/>
  <c r="N218" i="13"/>
  <c r="O218" i="13"/>
  <c r="H218" i="13"/>
  <c r="D11" i="8" s="1"/>
  <c r="I343" i="13"/>
  <c r="E18" i="8" s="1"/>
  <c r="J343" i="13"/>
  <c r="F18" i="8" s="1"/>
  <c r="K343" i="13"/>
  <c r="L343" i="13"/>
  <c r="M343" i="13"/>
  <c r="N343" i="13"/>
  <c r="O343" i="13"/>
  <c r="H343" i="13"/>
  <c r="D18" i="8" s="1"/>
  <c r="I637" i="13"/>
  <c r="E26" i="8" s="1"/>
  <c r="J637" i="13"/>
  <c r="F26" i="8" s="1"/>
  <c r="K637" i="13"/>
  <c r="L637" i="13"/>
  <c r="M637" i="13"/>
  <c r="N637" i="13"/>
  <c r="O637" i="13"/>
  <c r="H637" i="13"/>
  <c r="D26" i="8" s="1"/>
  <c r="O255" i="13"/>
  <c r="N255" i="13"/>
  <c r="M255" i="13"/>
  <c r="L255" i="13"/>
  <c r="O254" i="13"/>
  <c r="N254" i="13"/>
  <c r="M254" i="13"/>
  <c r="L254" i="13"/>
  <c r="O253" i="13"/>
  <c r="N253" i="13"/>
  <c r="M253" i="13"/>
  <c r="L253" i="13"/>
  <c r="O252" i="13"/>
  <c r="N252" i="13"/>
  <c r="M252" i="13"/>
  <c r="L252" i="13"/>
  <c r="O251" i="13"/>
  <c r="N251" i="13"/>
  <c r="M251" i="13"/>
  <c r="L251" i="13"/>
  <c r="O250" i="13"/>
  <c r="N250" i="13"/>
  <c r="M250" i="13"/>
  <c r="L250" i="13"/>
  <c r="O249" i="13"/>
  <c r="N249" i="13"/>
  <c r="M249" i="13"/>
  <c r="L249" i="13"/>
  <c r="O248" i="13"/>
  <c r="N248" i="13"/>
  <c r="M248" i="13"/>
  <c r="L248" i="13"/>
  <c r="O247" i="13"/>
  <c r="N247" i="13"/>
  <c r="M247" i="13"/>
  <c r="L247" i="13"/>
  <c r="O246" i="13"/>
  <c r="N246" i="13"/>
  <c r="M246" i="13"/>
  <c r="L246" i="13"/>
  <c r="O245" i="13"/>
  <c r="N245" i="13"/>
  <c r="M245" i="13"/>
  <c r="L245" i="13"/>
  <c r="O244" i="13"/>
  <c r="N244" i="13"/>
  <c r="M244" i="13"/>
  <c r="L244" i="13"/>
  <c r="O243" i="13"/>
  <c r="N243" i="13"/>
  <c r="M243" i="13"/>
  <c r="L243" i="13"/>
  <c r="O242" i="13"/>
  <c r="N242" i="13"/>
  <c r="M242" i="13"/>
  <c r="L242" i="13"/>
  <c r="O241" i="13"/>
  <c r="N241" i="13"/>
  <c r="M241" i="13"/>
  <c r="L241" i="13"/>
  <c r="O240" i="13"/>
  <c r="N240" i="13"/>
  <c r="M240" i="13"/>
  <c r="L240" i="13"/>
  <c r="O239" i="13"/>
  <c r="N239" i="13"/>
  <c r="M239" i="13"/>
  <c r="L239" i="13"/>
  <c r="O238" i="13"/>
  <c r="N238" i="13"/>
  <c r="M238" i="13"/>
  <c r="L238" i="13"/>
  <c r="O237" i="13"/>
  <c r="N237" i="13"/>
  <c r="M237" i="13"/>
  <c r="L237" i="13"/>
  <c r="O236" i="13"/>
  <c r="N236" i="13"/>
  <c r="M236" i="13"/>
  <c r="L236" i="13"/>
  <c r="O235" i="13"/>
  <c r="N235" i="13"/>
  <c r="M235" i="13"/>
  <c r="L235" i="13"/>
  <c r="O234" i="13"/>
  <c r="N234" i="13"/>
  <c r="M234" i="13"/>
  <c r="L234" i="13"/>
  <c r="O233" i="13"/>
  <c r="N233" i="13"/>
  <c r="M233" i="13"/>
  <c r="L233" i="13"/>
  <c r="O232" i="13"/>
  <c r="N232" i="13"/>
  <c r="M232" i="13"/>
  <c r="L232" i="13"/>
  <c r="O231" i="13"/>
  <c r="N231" i="13"/>
  <c r="M231" i="13"/>
  <c r="L231" i="13"/>
  <c r="O230" i="13"/>
  <c r="N230" i="13"/>
  <c r="M230" i="13"/>
  <c r="L230" i="13"/>
  <c r="O229" i="13"/>
  <c r="N229" i="13"/>
  <c r="M229" i="13"/>
  <c r="L229" i="13"/>
  <c r="O228" i="13"/>
  <c r="N228" i="13"/>
  <c r="M228" i="13"/>
  <c r="L228" i="13"/>
  <c r="O227" i="13"/>
  <c r="N227" i="13"/>
  <c r="M227" i="13"/>
  <c r="L227" i="13"/>
  <c r="O226" i="13"/>
  <c r="N226" i="13"/>
  <c r="M226" i="13"/>
  <c r="L226" i="13"/>
  <c r="O225" i="13"/>
  <c r="N225" i="13"/>
  <c r="M225" i="13"/>
  <c r="L225" i="13"/>
  <c r="O224" i="13"/>
  <c r="N224" i="13"/>
  <c r="M224" i="13"/>
  <c r="L224" i="13"/>
  <c r="O223" i="13"/>
  <c r="N223" i="13"/>
  <c r="M223" i="13"/>
  <c r="L223" i="13"/>
  <c r="O222" i="13"/>
  <c r="N222" i="13"/>
  <c r="M222" i="13"/>
  <c r="L222" i="13"/>
  <c r="O221" i="13"/>
  <c r="N221" i="13"/>
  <c r="N256" i="13" s="1"/>
  <c r="M221" i="13"/>
  <c r="L221" i="13"/>
  <c r="O256" i="13" l="1"/>
  <c r="F36" i="8"/>
  <c r="D36" i="8"/>
  <c r="E36" i="8"/>
  <c r="M256" i="13"/>
  <c r="L256" i="13"/>
  <c r="O186" i="13"/>
  <c r="N186" i="13"/>
  <c r="M186" i="13"/>
  <c r="L186" i="13"/>
  <c r="O185" i="13"/>
  <c r="N185" i="13"/>
  <c r="M185" i="13"/>
  <c r="L185" i="13"/>
  <c r="O184" i="13"/>
  <c r="N184" i="13"/>
  <c r="M184" i="13"/>
  <c r="L184" i="13"/>
  <c r="O182" i="13"/>
  <c r="N182" i="13"/>
  <c r="M182" i="13"/>
  <c r="L182" i="13"/>
  <c r="O181" i="13"/>
  <c r="N181" i="13"/>
  <c r="M181" i="13"/>
  <c r="L181" i="13"/>
  <c r="O180" i="13"/>
  <c r="N180" i="13"/>
  <c r="M180" i="13"/>
  <c r="L180" i="13"/>
  <c r="O179" i="13"/>
  <c r="N179" i="13"/>
  <c r="M179" i="13"/>
  <c r="L179" i="13"/>
  <c r="O178" i="13"/>
  <c r="N178" i="13"/>
  <c r="M178" i="13"/>
  <c r="L178" i="13"/>
  <c r="O177" i="13"/>
  <c r="N177" i="13"/>
  <c r="M177" i="13"/>
  <c r="L177" i="13"/>
  <c r="O176" i="13"/>
  <c r="N176" i="13"/>
  <c r="M176" i="13"/>
  <c r="L176" i="13"/>
  <c r="O175" i="13"/>
  <c r="N175" i="13"/>
  <c r="M175" i="13"/>
  <c r="L175" i="13"/>
  <c r="O174" i="13"/>
  <c r="N174" i="13"/>
  <c r="M174" i="13"/>
  <c r="L174" i="13"/>
  <c r="O173" i="13"/>
  <c r="N173" i="13"/>
  <c r="M173" i="13"/>
  <c r="L173" i="13"/>
  <c r="O172" i="13"/>
  <c r="N172" i="13"/>
  <c r="M172" i="13"/>
  <c r="L172" i="13"/>
  <c r="O171" i="13"/>
  <c r="N171" i="13"/>
  <c r="M171" i="13"/>
  <c r="L171" i="13"/>
  <c r="O170" i="13"/>
  <c r="N170" i="13"/>
  <c r="M170" i="13"/>
  <c r="L170" i="13"/>
  <c r="O169" i="13"/>
  <c r="N169" i="13"/>
  <c r="M169" i="13"/>
  <c r="L169" i="13"/>
  <c r="O168" i="13"/>
  <c r="N168" i="13"/>
  <c r="M168" i="13"/>
  <c r="L168" i="13"/>
  <c r="O167" i="13"/>
  <c r="N167" i="13"/>
  <c r="M167" i="13"/>
  <c r="L167" i="13"/>
  <c r="O166" i="13"/>
  <c r="N166" i="13"/>
  <c r="M166" i="13"/>
  <c r="L166" i="13"/>
  <c r="O165" i="13"/>
  <c r="N165" i="13"/>
  <c r="M165" i="13"/>
  <c r="L165" i="13"/>
  <c r="J183" i="13"/>
  <c r="O183" i="13" s="1"/>
  <c r="H180" i="13"/>
  <c r="M162" i="13"/>
  <c r="N162" i="13"/>
  <c r="O162" i="13"/>
  <c r="L162" i="13"/>
  <c r="I790" i="13"/>
  <c r="E37" i="8" s="1"/>
  <c r="J790" i="13"/>
  <c r="F37" i="8" s="1"/>
  <c r="K790" i="13"/>
  <c r="H790" i="13"/>
  <c r="D37" i="8" s="1"/>
  <c r="O789" i="13"/>
  <c r="N789" i="13"/>
  <c r="M789" i="13"/>
  <c r="N788" i="13"/>
  <c r="M788" i="13"/>
  <c r="L788" i="13"/>
  <c r="L790" i="13" s="1"/>
  <c r="O786" i="13"/>
  <c r="L183" i="13" l="1"/>
  <c r="N183" i="13"/>
  <c r="M183" i="13"/>
  <c r="O790" i="13"/>
  <c r="N790" i="13"/>
  <c r="M790" i="13"/>
  <c r="O187" i="13" l="1"/>
  <c r="N187" i="13"/>
  <c r="M187" i="13"/>
  <c r="L187" i="13"/>
  <c r="K187" i="13"/>
  <c r="J187" i="13"/>
  <c r="I187" i="13"/>
  <c r="H187" i="13"/>
  <c r="J162" i="13"/>
  <c r="F16" i="8" s="1"/>
  <c r="I162" i="13"/>
  <c r="E16" i="8" s="1"/>
  <c r="H162" i="13"/>
  <c r="D16" i="8" s="1"/>
  <c r="F13" i="8"/>
  <c r="E13" i="8"/>
  <c r="D13" i="8"/>
  <c r="O782" i="13"/>
  <c r="N782" i="13"/>
  <c r="M782" i="13"/>
  <c r="L782" i="13"/>
  <c r="K782" i="13"/>
  <c r="I782" i="13"/>
  <c r="E30" i="8" s="1"/>
  <c r="H782" i="13"/>
  <c r="D30" i="8" s="1"/>
  <c r="D12" i="8" l="1"/>
  <c r="E12" i="8"/>
  <c r="F12" i="8"/>
  <c r="B9" i="11" l="1"/>
  <c r="D9" i="11"/>
  <c r="E9" i="11"/>
  <c r="C9" i="11"/>
  <c r="O310" i="3" l="1"/>
  <c r="N310" i="3"/>
  <c r="M310" i="3"/>
  <c r="L310" i="3"/>
  <c r="J310" i="3"/>
  <c r="I310" i="3"/>
  <c r="H310" i="3"/>
  <c r="D39" i="7" l="1"/>
  <c r="E39" i="7"/>
  <c r="F39" i="7"/>
  <c r="E16" i="7"/>
  <c r="E18" i="7"/>
  <c r="H127" i="3"/>
  <c r="D18" i="7" l="1"/>
  <c r="D16" i="7"/>
  <c r="D14" i="7"/>
  <c r="D47" i="7" s="1"/>
  <c r="F14" i="7"/>
  <c r="F47" i="7" s="1"/>
  <c r="E14" i="7"/>
  <c r="E47" i="7" s="1"/>
</calcChain>
</file>

<file path=xl/comments1.xml><?xml version="1.0" encoding="utf-8"?>
<comments xmlns="http://schemas.openxmlformats.org/spreadsheetml/2006/main">
  <authors>
    <author>Casper</author>
    <author>Esma</author>
  </authors>
  <commentList>
    <comment ref="K208" authorId="0" shapeId="0">
      <text>
        <r>
          <rPr>
            <b/>
            <sz val="9"/>
            <color indexed="81"/>
            <rFont val="Tahoma"/>
            <family val="2"/>
            <charset val="162"/>
          </rPr>
          <t>Casper:</t>
        </r>
        <r>
          <rPr>
            <sz val="9"/>
            <color indexed="81"/>
            <rFont val="Tahoma"/>
            <family val="2"/>
            <charset val="162"/>
          </rPr>
          <t xml:space="preserve">
FİYAT FARKI
</t>
        </r>
      </text>
    </comment>
    <comment ref="K279" authorId="1" shapeId="0">
      <text>
        <r>
          <rPr>
            <b/>
            <sz val="9"/>
            <color indexed="81"/>
            <rFont val="Tahoma"/>
            <family val="2"/>
            <charset val="162"/>
          </rPr>
          <t>Esma:</t>
        </r>
        <r>
          <rPr>
            <sz val="9"/>
            <color indexed="81"/>
            <rFont val="Tahoma"/>
            <family val="2"/>
            <charset val="162"/>
          </rPr>
          <t xml:space="preserve">
Ek ödenek alınmıştır. 2021 yıl ödeneği toplam 9.470.014,40 TL olmuştur.</t>
        </r>
      </text>
    </comment>
  </commentList>
</comments>
</file>

<file path=xl/sharedStrings.xml><?xml version="1.0" encoding="utf-8"?>
<sst xmlns="http://schemas.openxmlformats.org/spreadsheetml/2006/main" count="5310" uniqueCount="2016">
  <si>
    <t>S.N.</t>
  </si>
  <si>
    <t>SEKTÖRÜN ADI</t>
  </si>
  <si>
    <t>PROJENİN ADI</t>
  </si>
  <si>
    <t>YERİ</t>
  </si>
  <si>
    <t>KARAKTERİSTİĞİ</t>
  </si>
  <si>
    <t>İŞİN</t>
  </si>
  <si>
    <t>PROJE TUTARI</t>
  </si>
  <si>
    <t>PROGRAM YILINA KADAR YAPILAN HARCAMA</t>
  </si>
  <si>
    <t>YILI ÖDENEĞİ</t>
  </si>
  <si>
    <t>PROG.</t>
  </si>
  <si>
    <t>REVİ.</t>
  </si>
  <si>
    <t>YILI ÖDENEĞİNİN DÖNEMLERE GÖRE DAĞILIMI</t>
  </si>
  <si>
    <t>1.DÖN</t>
  </si>
  <si>
    <t>2.DÖN</t>
  </si>
  <si>
    <t>3.DÖN</t>
  </si>
  <si>
    <t>4.DÖN</t>
  </si>
  <si>
    <t>DÜŞÜNCELER</t>
  </si>
  <si>
    <t>BAŞLAMA TARİHİ</t>
  </si>
  <si>
    <t>BİTİŞ TARİHİ</t>
  </si>
  <si>
    <t>AİLE ÇALIŞMA VE SOSYAL HİZMETLER İL MÜDÜRLÜĞÜ</t>
  </si>
  <si>
    <t>TOPLAM</t>
  </si>
  <si>
    <t>ÇEVRE VE ŞEHİRCİLİK İL MÜDÜRLÜĞÜ</t>
  </si>
  <si>
    <t>ARNAVUTKÖY</t>
  </si>
  <si>
    <t>İSTANBUL</t>
  </si>
  <si>
    <t>SOSYAL GÜVENLİK KURUMU İL MÜDÜRLÜĞÜ</t>
  </si>
  <si>
    <t>DKH</t>
  </si>
  <si>
    <t>İSTANBUL VAKIFLAR 2. BÖLGE MÜDÜRLÜĞÜ</t>
  </si>
  <si>
    <t>ZEYTİNBURNU</t>
  </si>
  <si>
    <t>YENİ PTT A.Ş.BİNALARI/İstanbul KİM ve Lojistik Üs Binası</t>
  </si>
  <si>
    <t>YENİ PTT A.Ş.BİNALARI/İstanbul Anadolu Yakası-Bostancı Uygulamalı Eğitim Merkezi, Kargo ve Merkez Müdürlüğü Binası</t>
  </si>
  <si>
    <t>KADIKÖY</t>
  </si>
  <si>
    <t>YENİ PTT A.Ş.BİNALARI/İstanbul Anadolu Yakası-Dağıtım ve Kargo Merkez Müdürlüğü Binası</t>
  </si>
  <si>
    <t>KARTAL</t>
  </si>
  <si>
    <t>YENİ PTT A.Ş. İŞYERLERİ KONSEPT</t>
  </si>
  <si>
    <t>MUHTELİF İŞLER</t>
  </si>
  <si>
    <t>Muhtelif İşler</t>
  </si>
  <si>
    <t>EĞİTİM</t>
  </si>
  <si>
    <t>ÜSKÜDAR</t>
  </si>
  <si>
    <t>BAKIRKÖY</t>
  </si>
  <si>
    <t>GENÇLİK VE SPOR İL MÜDÜRLÜĞÜ</t>
  </si>
  <si>
    <t>ULAŞTIRMA</t>
  </si>
  <si>
    <t>Asfalt</t>
  </si>
  <si>
    <t>_</t>
  </si>
  <si>
    <t>30.090,00 TL</t>
  </si>
  <si>
    <t>70.210,00 TL</t>
  </si>
  <si>
    <t>ENERJİ</t>
  </si>
  <si>
    <t>TUZLA</t>
  </si>
  <si>
    <t>ÇATALCA</t>
  </si>
  <si>
    <t>KÜÇÜKÇEKMECE</t>
  </si>
  <si>
    <t>PENDİK</t>
  </si>
  <si>
    <t>SULTANBEYLİ</t>
  </si>
  <si>
    <t>ÜMRANİYE</t>
  </si>
  <si>
    <t>İL MİLLİ EĞİTİM MÜDÜRLÜĞÜ</t>
  </si>
  <si>
    <t>İnşaat</t>
  </si>
  <si>
    <t xml:space="preserve">TOPLAM </t>
  </si>
  <si>
    <t>KARAYOLLARI 1. BÖLGE MÜDÜRLÜĞÜ</t>
  </si>
  <si>
    <t>SAĞLIK</t>
  </si>
  <si>
    <t>İL SAĞLIK MÜDÜRLÜĞÜ</t>
  </si>
  <si>
    <t>İSTANBUL PROJE KOORDİNASYON BİRİMİ</t>
  </si>
  <si>
    <t>ŞİLE</t>
  </si>
  <si>
    <t>Römorkör</t>
  </si>
  <si>
    <t>Radar ve Gözetleme Sistemleri, Sistem Yazılımı</t>
  </si>
  <si>
    <t>Bot</t>
  </si>
  <si>
    <t xml:space="preserve">ULAŞTIRMA  </t>
  </si>
  <si>
    <t>KIYI EMNİYETİ GENEL MÜDÜRLÜĞÜ</t>
  </si>
  <si>
    <t>Etüd Proje</t>
  </si>
  <si>
    <t>TARIM</t>
  </si>
  <si>
    <t>TARIM VE ORMAN İL MÜDÜRLÜĞÜ</t>
  </si>
  <si>
    <t>TEİAŞ 4. BÖLGE MÜDÜRLÜĞÜ</t>
  </si>
  <si>
    <t>154 kV, 1600 mm² Kablo, 5 km</t>
  </si>
  <si>
    <t>154/33 kV, 2x100 MVA + 154/33 kV, 3. ve 4. Trafo Fideri + 170 kV, 50 MVAr Reaktör</t>
  </si>
  <si>
    <t xml:space="preserve">Ambarlı 380 TM Tevsiat </t>
  </si>
  <si>
    <t>380 kV, 1 Fider (İkitelli)</t>
  </si>
  <si>
    <t xml:space="preserve">Çatalca 380 TM </t>
  </si>
  <si>
    <t xml:space="preserve">380/154 kV, 1. ve 2. Bank Fideri + 154/33 kV, 1. ve 2. Trafo Fideri </t>
  </si>
  <si>
    <t xml:space="preserve">Etiler GIS (Aynı Sahada) </t>
  </si>
  <si>
    <t>Ambarlı DGKÇS - İkitelli EİH Yenileme (TTFO)</t>
  </si>
  <si>
    <t>380 kV, 2x3B 954 MCM, 22 km</t>
  </si>
  <si>
    <t>Hadımköy OSB GIS - Habipler EİH Kısmi Yenileme (TTFO)</t>
  </si>
  <si>
    <t>380 kV, 3B 954 MCM + 154 kV, 2x1272 MCM, 6 km</t>
  </si>
  <si>
    <t>Beşyüzevler - Silahtar Kablosu (Fiber Optikli)</t>
  </si>
  <si>
    <t>154 kV, 1600 mm² Kablo, 2,9 km</t>
  </si>
  <si>
    <t>154 kV, 1600 mm² Kablo, 4 + 3 + 0,5 km + 154 kV, 1600 mm² Kablo, 3 km Kablo Altyapısı (Atışalanı - Aksaray)</t>
  </si>
  <si>
    <t xml:space="preserve">Güneşli GIS </t>
  </si>
  <si>
    <t>Silahtar GIS</t>
  </si>
  <si>
    <t>154/33 kV, 2x100 MVA Trafo</t>
  </si>
  <si>
    <t>Çatalca TM İrtibat Hattı (TTFO)</t>
  </si>
  <si>
    <t>Yenibosna - Veliefendi Kablosu Yenileme (Farklı Güzergahta)(Fiber Optikli)</t>
  </si>
  <si>
    <t>154 kV, 1600 mm² Kablo, 10 km</t>
  </si>
  <si>
    <t>Kasımpaşa GIS Tevsiat</t>
  </si>
  <si>
    <t>Şişli GIS Tevsiat</t>
  </si>
  <si>
    <t>OG Metal Clad İlavesi</t>
  </si>
  <si>
    <t>Veliefendi GIS Tevsiat</t>
  </si>
  <si>
    <t>Küçükköy - Beşyüzevler Kablosu (Fiber Optikli)</t>
  </si>
  <si>
    <t xml:space="preserve">Beşyüzevler GIS  </t>
  </si>
  <si>
    <t>Veliefendi TM Tevsiat</t>
  </si>
  <si>
    <t>154 kV, 1 Fider (Yenibosna)</t>
  </si>
  <si>
    <t>Halkalı GIS</t>
  </si>
  <si>
    <t>Ataköy GIS</t>
  </si>
  <si>
    <t>Çağlayan - Altıntepe Kablosu (Fiber Optikli)</t>
  </si>
  <si>
    <t>154 kV, 1600 mm² Kablo, 4 km</t>
  </si>
  <si>
    <t>Havalimanı TM (İstanbul Yenihavalimanı GIS Tevsiat)</t>
  </si>
  <si>
    <t>154/33 kV, 2x100 MVA Trafo + OG Şalt + Kumanda Binası</t>
  </si>
  <si>
    <t>Topkapı TM Tevsiat</t>
  </si>
  <si>
    <t>OG Şalt ve Kumanda Yenileme</t>
  </si>
  <si>
    <t>Kınalı TM</t>
  </si>
  <si>
    <t>TEİAŞ 1. BÖLGE MÜDÜRLÜĞÜ</t>
  </si>
  <si>
    <t>ULAŞTIRMA VE ALTYAPI BAKANLIĞI I. BÖLGE MÜDÜRLÜĞÜ</t>
  </si>
  <si>
    <t>-</t>
  </si>
  <si>
    <t>ANADOLU FENERİ BALIKÇI BARINAĞI İNŞAATI</t>
  </si>
  <si>
    <t>ANADOLU KAVAĞI BALIKÇI BARINAĞI RIHTIM İNŞAATI</t>
  </si>
  <si>
    <t xml:space="preserve">SİLİVRİ YAT LİMANI PROJESİ </t>
  </si>
  <si>
    <t>GARİPÇE BALIKÇI BARINAĞI İNŞAATI</t>
  </si>
  <si>
    <t xml:space="preserve">KEGM YEŞİLYURT FENER İSKELESİ İNŞAATI </t>
  </si>
  <si>
    <t>TÜRKİYE YAZMA ESERLER KURUMU BAŞKANLIĞI İSTANBUL BÖLGE MÜDÜRLÜĞÜ</t>
  </si>
  <si>
    <t>Ulaştırma-Haberleşme</t>
  </si>
  <si>
    <t>BAĞCILAR BELEDİYE BAŞKANLIĞI</t>
  </si>
  <si>
    <t>İNŞAAT</t>
  </si>
  <si>
    <t>İSTANBUL BÜYÜKŞEHİR BELEDİYE BAŞKANLIĞI</t>
  </si>
  <si>
    <t>Raylı Sistem Araç Alımı</t>
  </si>
  <si>
    <t>Kabataş-Mecidiyeköy-Mahmutbey Metro Hattı</t>
  </si>
  <si>
    <t>KADIKÖY BELEDİYE BAŞKANLIĞI</t>
  </si>
  <si>
    <t>İSTANBUL VAKIFLAR 1. BÖLGE MÜDÜRLÜĞÜ</t>
  </si>
  <si>
    <t>İSTANBUL ORMAN BÖLGE MÜDÜRLÜĞÜ</t>
  </si>
  <si>
    <t>TCDD 1.BÖLGE MÜDÜRLÜĞÜ</t>
  </si>
  <si>
    <t>İETT İŞLETMELERİ GENEL MÜDÜRLÜĞÜ</t>
  </si>
  <si>
    <t>İSKİ GENEL MÜDÜRLÜĞÜ</t>
  </si>
  <si>
    <t>İLLER BANKASI A.Ş. İSTANBUL BÖLGE MÜDÜRLÜĞÜ</t>
  </si>
  <si>
    <t>DSİ 14. BÖLGE MÜDÜRLÜĞÜ</t>
  </si>
  <si>
    <t>TARIM VE ORMAN 1. BÖLGE MÜDÜRLÜĞÜ</t>
  </si>
  <si>
    <t>Etüt-Proje</t>
  </si>
  <si>
    <t>Eğitim</t>
  </si>
  <si>
    <t>Derslik ve Merkezi Birimler</t>
  </si>
  <si>
    <t>Kampüs Altyapısı</t>
  </si>
  <si>
    <t>Yayın Alımı</t>
  </si>
  <si>
    <t>İSTANBUL MEDENİYET ÜNİVERSİTESİ</t>
  </si>
  <si>
    <t>Doğalgaz Dönüşümü, Elektrik Hattı, Kampüs İçi Yol, Kanalizasyon Hattı, Peyzaj, Su İsale Hattı, Telefon Hattı.</t>
  </si>
  <si>
    <t>Çeşitli Ünitelerin Etüd Projesi</t>
  </si>
  <si>
    <t>Etüt - Proje</t>
  </si>
  <si>
    <t>Basılı Yayın Alımı, Elektronik Yayın Alımı</t>
  </si>
  <si>
    <t>Bakım Onarım, Bilgi ve İletişim Teknolojileri, Kesin Hesap, Makine - Teçhizat</t>
  </si>
  <si>
    <t>Açık ve Kapalı Spor Tesisleri</t>
  </si>
  <si>
    <t xml:space="preserve">İSTANBUL TEKNİK ÜNİVERSİTESİ  </t>
  </si>
  <si>
    <t>Büyük Onarım, Güçlendirme, Restorasyon</t>
  </si>
  <si>
    <t>Teknolojik Araştırma</t>
  </si>
  <si>
    <t>Proje Desteği</t>
  </si>
  <si>
    <t>İSTANBUL ÜNİVERSİTESİ</t>
  </si>
  <si>
    <t xml:space="preserve">Etüd-Proje </t>
  </si>
  <si>
    <t xml:space="preserve">Büyük Onarım </t>
  </si>
  <si>
    <t>Doğalgaz Dönüşümü, Elektrik Hattı, Kampüs İçi Yol, Kanalizasyon Hattı, Peyzaj,Su İsale Hattı, Telefon Hattı</t>
  </si>
  <si>
    <t>Basılı Yayın Alımı,Elektronik Yayın Alımı</t>
  </si>
  <si>
    <t>Büyük Onarım, Makine Teçhizat</t>
  </si>
  <si>
    <t xml:space="preserve">Doğu Anadolu Gözlemevi Odak Düzlemi Aygıtları ve Adaptik Optik Sistemi </t>
  </si>
  <si>
    <t>Restorasyon</t>
  </si>
  <si>
    <t>Tarihi Türk Müziği Araştırmaları ve Multimedya Arşivi</t>
  </si>
  <si>
    <t>Fen Edebiyat Fakültesi Restorasyonu</t>
  </si>
  <si>
    <t>MARMARA ÜNİVERSİTESİ</t>
  </si>
  <si>
    <t>MİMAR SİNAN GÜZEL SANATLAR ÜNİVERSİTESİ</t>
  </si>
  <si>
    <t>SAĞLIK BİLİMLERİ ÜNİVERSİTESİ</t>
  </si>
  <si>
    <t>TÜRK- ALMAN ÜNİVERSİTESİ</t>
  </si>
  <si>
    <t>YILDIZ TEKNİK ÜNİVERSİTESİ</t>
  </si>
  <si>
    <t xml:space="preserve">Muhtelif İşler </t>
  </si>
  <si>
    <t>BOĞAZİÇİ ÜNİVERSİTESİ</t>
  </si>
  <si>
    <t>ZEYTİNBURNU BELEDİYE BAŞKANLIĞI</t>
  </si>
  <si>
    <t>İSTANBUL CERRAHPAŞA ÜNİVERSİTESİ</t>
  </si>
  <si>
    <t>PROJE SAYISI</t>
  </si>
  <si>
    <t>PROJE SAHİBİ KURUM /KURULUŞ</t>
  </si>
  <si>
    <t>İSTANBUL TEKNİK ÜNİVERSİTESİ</t>
  </si>
  <si>
    <t>GENEL TOPLAM</t>
  </si>
  <si>
    <t>PROJE  SAHİBİ KURUM/ KURULUŞ</t>
  </si>
  <si>
    <t>SEKTÖREL DAĞILIMI</t>
  </si>
  <si>
    <t>Proje Sayısı</t>
  </si>
  <si>
    <t>Toplam Proje Tutarı</t>
  </si>
  <si>
    <t>Önceki Yıllar Toplam Harcaması</t>
  </si>
  <si>
    <t>Toplam Yılı Ödeneği</t>
  </si>
  <si>
    <t>Sağlık</t>
  </si>
  <si>
    <t>Tarım</t>
  </si>
  <si>
    <t>Enerji</t>
  </si>
  <si>
    <t>BAŞ MÜDÜRLÜKLER</t>
  </si>
  <si>
    <t>İL MÜDÜRLÜKLERİ</t>
  </si>
  <si>
    <t>KİTLER</t>
  </si>
  <si>
    <t>TÜRKİYE DENİZCİLİK İŞLETMELERİ A.Ş. GENEL MÜDÜRLÜĞÜ</t>
  </si>
  <si>
    <t>ÜNİVERSİTELER</t>
  </si>
  <si>
    <t>BÖLGE KURULUŞLARI</t>
  </si>
  <si>
    <t xml:space="preserve"> İSTANBUL 2021 YILI YATIRIM PROJELERİ ÇALIŞMA VE İŞ PROGRAMI</t>
  </si>
  <si>
    <t>İSTANBUL 2021 YILI YATIRIM PROJELERİ ÇALIŞMA VE İŞ PROGRAMI</t>
  </si>
  <si>
    <t xml:space="preserve"> İSTANBUL 2021 YILI BELEDİYELER YATIRIM PROJELERİ ÇALIŞMA VE İŞ PROGRAMI</t>
  </si>
  <si>
    <t>İstanbul</t>
  </si>
  <si>
    <t xml:space="preserve">Türk Boğazları Gemi Trafik Hizmetleri Sistem Yükseltilmesi ve İlavesi </t>
  </si>
  <si>
    <t>Kılavuzluk, Fener ve Tahlisiye İstasyonları İnşaatı</t>
  </si>
  <si>
    <t xml:space="preserve">Kılavuzluk Hizmet Botu </t>
  </si>
  <si>
    <t>Acil Müdahale Römorkörü</t>
  </si>
  <si>
    <t>Hizmet Binası, İnşaat, İskele Bakım Onarımı</t>
  </si>
  <si>
    <t>Makine -Teçhizat</t>
  </si>
  <si>
    <t>RUMELİ FENERİ BAL.BAR. KRONMAN DUVARI YÜKSELTİLMESİ VE ÇEKEK YERİ İNŞAATI</t>
  </si>
  <si>
    <t>YALIKÖY BALIKÇI BARINAĞI İNŞAATI</t>
  </si>
  <si>
    <t>Sarıyer</t>
  </si>
  <si>
    <t>Beykoz</t>
  </si>
  <si>
    <t>Silivri</t>
  </si>
  <si>
    <t>Çatalca</t>
  </si>
  <si>
    <t>Bakırköy</t>
  </si>
  <si>
    <t> HALKALI(HARİÇ)-ÇERKEZKÖY(HARİÇ) HAT KESİMİNE AİT YOL BOYU SİNYALİZASYON VE TELEKOMÜNİKASYON SİSTEMLERİ YAPIM İŞİ  </t>
  </si>
  <si>
    <t>SİRKECİ GAR ÖN GİRİŞ KAPISI YENİLEME İŞİ PROJE HAZIRLANMASI</t>
  </si>
  <si>
    <t> HAYDARPAŞA MİSAFİRHANESİNİN DEPREM ÖN İNCELMESİNİN HAZIRLATILMASI İLE GÜÇLENDİRME, MİMARİ,ELEKTRİK VE MEKANİK İŞLERİ  </t>
  </si>
  <si>
    <t>ERENKÖY PLAN 19, PLAN 24, RAY 2 HİZMETEVLERİNE GÜÇLENDİRME YAPILMASI İŞİ</t>
  </si>
  <si>
    <t>HAYDARPAŞA GAR BİNASI VE MÜŞTEMİLATI 2. ETAP RESTORASYONU İŞİ</t>
  </si>
  <si>
    <t>BÖLGE MÜDÜRLÜĞÜMÜZE BAĞLI; HALKALI GAR VE GÜMRÜKLÜ SHASINA CCTV KAMERA SİSTEMLERİNİN KURULUMU İŞİ.</t>
  </si>
  <si>
    <t>HAYDARPAŞA GAR BİNASI KONTROLLÜK VE MÜŞAVİRLİK HİZMET ALIMI</t>
  </si>
  <si>
    <t>1.BÖLGE MÜDÜRLÜĞÜNDEKİ YAPILARIN 2. ETAP DEPREM TAHKİK RAPORUNUN HAZIRLATILMASI </t>
  </si>
  <si>
    <t>HAYDARPAŞA GAR SAHASINDA BULUNAN DİKİMEVİ BİNASININ RRR PROJELERİNİN YAPTIRILMASI </t>
  </si>
  <si>
    <t>HAYDARPAŞA GAR SAHASI PLAN 249 NOLU BİNA VE YEMEKHANE BİNASININ RÖLÖVE VE TADİLAT PROJELERİNİN HAZIRLANMASI </t>
  </si>
  <si>
    <t>1. BÖLGE MÜDÜRLÜĞÜ ERİŞİLEBİLİRLİK PROJELERİ YAPTIRILMASI 1.ETAP İŞİ </t>
  </si>
  <si>
    <t>1 BÖLGE SINIRLARI DAHİLİNDE İSTASYONLARIN KOMPANZASYON SİSTEMLERİNİN YAPILMASI İŞİ</t>
  </si>
  <si>
    <t>1.BÖLGE MÜDÜRLÜGÜ ÇAYİRDERE,SİNEKLİ, KURFALLİ,KABAKÇA ISTASYON YOL YENİLEMELERİ</t>
  </si>
  <si>
    <t>SİRKECİ - UZUNKÖPRÜ HATTI KM: 50+320 - 50+490 VE KM: 50+920 - 51+300 ARASI DEMİRYOLU DOLGULARININ FORE KAZIK İLE İYİLEŞTİRİLMESİ İŞİ</t>
  </si>
  <si>
    <t>TCDD 1. BÖLGE MÜDÜRLÜĞÜ MINTIKASINDA YER ALAN KÖPRÜ VE MENFEZLERİN GÜÇLENDİRİLMESİ VE İLAVE İMALATLARININ YAPILMASI (3.Kısım :Halkalı 14 DBM Mıntıkasındaki Köprülerde Boya ve Çelik yaya yürüme yolu yapılması işi) (4.Kısım :Halkalı 14 DBM Mıntıkası Çerkezköy-Muratlı İstasyonları arası menfez bakımı,taş duvar ve tahkimat yapılması işi) (5.Kısım :Halkalı 14 DBM Çatalca-Çerkezköy arası 30 adet menfez 4 adet köprünün bakımları ve servis yollarının yapılması işi)</t>
  </si>
  <si>
    <t>1. BÖLGE MINTIKASINDAKİ MERKEZİ ISITMA İLE ÇALIŞAN İŞYERİ VE HİZMETEVİNE ISI PAY ÖLÇER TAKILMASI</t>
  </si>
  <si>
    <t>FENERBAHÇE KONFERANS SALONU YAPILMASI</t>
  </si>
  <si>
    <t>YER ÜZERİ OLAN MARMARAY İSTASYONU PERONLARİNA BEKLEME SALONU YAPİLMASİ.</t>
  </si>
  <si>
    <t>ÖMERLİ YÜKLEME BOŞALTMA SAHASI YAPIMI</t>
  </si>
  <si>
    <t>HALKALI LOJİSTİK SAHA BOZULAN BETON ALANLARIN YENİLENMESİ İŞİ</t>
  </si>
  <si>
    <t>HALKALI VAGON BAKIM ATÖLYE MÜDÜRLÜĞÜ BİNASINA 1000 V ENERJİ TEMİNİ YAPILMASI İŞİ</t>
  </si>
  <si>
    <t>ISPARTAKULE KONUTBİRLİK EVLER VE ALTINŞEHİR PERON YAPIMI VE DÜZENLENMESİ YAPIM İŞİ</t>
  </si>
  <si>
    <t>İSTANBUL %91 TEKİRDAĞ %9</t>
  </si>
  <si>
    <t>İSTANBUL %94  KOCAELİ %1 TEKİRDAĞ % 6</t>
  </si>
  <si>
    <t>Bilecik %17,32
Edirne %10,80
İstanbul %9,13
Kırklareli %14,65
Kocaeli %13,65
Sakarya %12,28
Tekirdağ %22,17</t>
  </si>
  <si>
    <t xml:space="preserve">İstanbul %30 , Kırklareli %15 , Tekirdağ %15 , Edirne%15 , Sakarya%25 </t>
  </si>
  <si>
    <t>İSTANBUL %100</t>
  </si>
  <si>
    <t>İSTANBUL %58</t>
  </si>
  <si>
    <t>İstanbul (%42), Kocaeli (%32), Kırklareli (% 9), Sakarya (% 17)</t>
  </si>
  <si>
    <t>ETÜT-PROJE</t>
  </si>
  <si>
    <t>BAKIM - ONARIM</t>
  </si>
  <si>
    <t>19.02.2018-</t>
  </si>
  <si>
    <t>2.640.409,87 TL</t>
  </si>
  <si>
    <t>Çalışmalar devam etmektedir.</t>
  </si>
  <si>
    <t xml:space="preserve"> Garın imar planı olmadığından dolayı iş beklemektedir. 12.12.2017 tarihinde iş süresiz durdurulmuştur. İmar planı sorunu nedeniyle ilerleme sağlanamamaktadır.</t>
  </si>
  <si>
    <t>Yapının ruhsatı bulunmaması sebebiyle İmar barışı kapsamında başvurulmuş ve yapı kayıt belgesi alınmıştır. Alınan yapı kayıt belgesi ile İlgili belediye ve koruma kuruluna projeler onaya gönderilecektir.</t>
  </si>
  <si>
    <t>Lojmanların bulunduğu alanda farklı bir tasarrufa gidilmesi planlanmaktadır.</t>
  </si>
  <si>
    <t>İhale dosyası hazırlanıyor.</t>
  </si>
  <si>
    <t>İş devam etmektedir.</t>
  </si>
  <si>
    <t>Malzeme analizi için karot numuneleri alınmış, Statik rölöve projeleri çizilmektedir. Deprem tahkik raporları hazırlanmaktadır.</t>
  </si>
  <si>
    <t xml:space="preserve">Projeler kurulda onaydadır. </t>
  </si>
  <si>
    <t>Projeler belediye onayındadır.</t>
  </si>
  <si>
    <t>Yolcu kullanımı olan, olması düşünülen, bilet kesilen istasyonların yasa kapsamında engellilere uygun hale getirilmesine yönelik projelerin yaptırılması için yatırım programına alınmıştır.  Çatalca Tren Garı RRR ve Engelliler İçin Erişilebilirlik Projeleri Genel Müdürlük'te onaydadır.</t>
  </si>
  <si>
    <t>Yer teslimi yapıldı.</t>
  </si>
  <si>
    <t>3 istasyonda çalışmalar tamamlanmış olup 1 istasyonda çalışmalar devam etmektedir.</t>
  </si>
  <si>
    <t>08.10.2020 tarihinde sözleşme imzalanarak işe başlanmıştır. Sahada çalışmalar devam etmektedir.</t>
  </si>
  <si>
    <t>Bu Yatırımın kapsamında 7 farklı kısımda çalışmalar yapılmakta olup İstanbul ili sınırlarında bulunan 3. 4. ve 5.kısımda çalışmalar devam etmektedir.</t>
  </si>
  <si>
    <t>20.01.2021 tarihinde ihalesi yapıldı.</t>
  </si>
  <si>
    <t>Çok amaçlı bir konferans salonu yapılacaktır. İç mimari proje tasarımı bitmiştir.Yapım işi başlamamıştır.</t>
  </si>
  <si>
    <t>İhale dosyası hazırlanmaktadır.</t>
  </si>
  <si>
    <t>Ömerli Yükleme Boşaltma İstasyonu Genişleme Alanı ve İltisak Hattı Bağlantısı’ nın protokolü TCDD Genel Müdürlüğü ile Medlog Lojistik Gemicilik A.Ş arasında 19.06.2018 tarihinde imzalanmış olup, protokole ek 02.12.2019 tarihli İstanbul İli, Arnavutköy İlçesi, "Ömerli İstasyonunda yaklaşık 9000 m² alanın yükleme / boşaltma ve stok sahası tesisi için 29 yıl süre ile kiralanması işi kapsamında saha imalatına başlanılmıştır. Hat 1590 metre uzunluğundadır. Yapım maliyeti talep sahibi firma tarafından karşılanacaktır. Proje  kapsamında Sirkeci Edirne Hattı Km: 45+803 de  hattı cari makası atılarak yükleme boşaltma sahalarına giden demiryolların yapımı yapılmış olup 21.09.2020 tarihinde geçici kabulü yapılmıştır. Hattı cari Sirkeci Edirne Hattı Km:44+830 makası ve buraya bağlanacak siding tamamlanacaktır.</t>
  </si>
  <si>
    <t>16.11.2020 tarihinde yer teslimi yapılarak işe başlanmıştır.</t>
  </si>
  <si>
    <t>İhale dosyası hazırlanmış olup Genel Müdürlük'ten yetki istenmiştir.</t>
  </si>
  <si>
    <t>11.01.2021 tarihinde ihalesi yapılmış olup sözleşme imzalanacaktır.</t>
  </si>
  <si>
    <t>Verbana DGKÇ - Alibeyköy EİH(TTFO)</t>
  </si>
  <si>
    <t>Atışalanı GIS Yenileme (Farklı Sahada)</t>
  </si>
  <si>
    <t>Çağlayan - Zekeriyaköy KD. Kablosu (Fiber Optikli)</t>
  </si>
  <si>
    <t>Habipler GIS Yenileme (Aynı Sahada)</t>
  </si>
  <si>
    <t>Esenler GIS</t>
  </si>
  <si>
    <t xml:space="preserve">Esenler GIS irtibat hatları </t>
  </si>
  <si>
    <t>Davutpaşa GIS - Topkapı GIS Kablosu (Fiber Optikli)</t>
  </si>
  <si>
    <t>Beşyüzevler -  Atışalanı (Bağcılar) Kablosu (Fiber Optikli)</t>
  </si>
  <si>
    <t>(Sultanmurat-Ambarlı) Brş. N. – Halkalı GIS Kablosu</t>
  </si>
  <si>
    <t xml:space="preserve">Ağırmeşe - Çanta RES - Kınalı EİH (TTFO) </t>
  </si>
  <si>
    <t>Yeşilkent GIS</t>
  </si>
  <si>
    <t>Selimpaşa TM</t>
  </si>
  <si>
    <t>Davutpaşa TM Tevsiat</t>
  </si>
  <si>
    <t>380 kV, 2x3B 1272 MCM, 159 km + 3B 1272 MCM, 10 km(İki Ayrı Hat)</t>
  </si>
  <si>
    <t>400/154 kV 2x450 MVA + 400/33 kV 3x125 MVA+ 4. Trafo Fideri</t>
  </si>
  <si>
    <t>400 kV, 2000 mm2, 8 km Kablo</t>
  </si>
  <si>
    <t>400 Kv/154 kV 2x450 MVA + 420 kV 160-250 Mvar Ayarlanabilir Reaktör + 400/33 kV 2x125 MWA+ 154/33 kV 1. ve 2. Trafo Fideri</t>
  </si>
  <si>
    <t>400/33 kV, 2x125 MVA + 3. ve 4. Trafo Fideri +  420 kV, 160-250 MVAr Ayarlanabilir Reaktör</t>
  </si>
  <si>
    <t xml:space="preserve">400 kV, 3 B 1272 MCM,  2 + 2 km </t>
  </si>
  <si>
    <t>154 kV, 1272 MCM, 1+1 km (İki Ayrı Hat)</t>
  </si>
  <si>
    <t>154 kV, 2x1600 mm² Kablo, 2,7 km</t>
  </si>
  <si>
    <t>154/33 kV, 2x100 MVA + 3. Trafo Fideri + 4. Trafo/Reaktör Fideri</t>
  </si>
  <si>
    <t>154/33 kV 3x100 MVA + 4. Trafo/Reaktör Fideri</t>
  </si>
  <si>
    <t>154/33 kV, 2x100 MVA + 3. Trafo/Reaktör Fideri</t>
  </si>
  <si>
    <t>154 kV, 2x1600 mm² Kablo, 2,2 km</t>
  </si>
  <si>
    <t>154 kV, 2x1272 MCM, 14 km + 154 kV, 1272 MCM, 4 km</t>
  </si>
  <si>
    <t>154/33 kV, 2x62,5 MVA</t>
  </si>
  <si>
    <t>OG Şalt Yenileme</t>
  </si>
  <si>
    <t>Tesis çalışmaları devam etmektedir.</t>
  </si>
  <si>
    <t xml:space="preserve">İşin sözleşmesine göre iş bitim tarihi 12.02.2021 olup yüklenici süre uzatımı talebi Teşekkülümüzce değerlendirilmektedir.Tesis çalışmaları devam etmektedir. </t>
  </si>
  <si>
    <t>İhalesi yapılmadı.</t>
  </si>
  <si>
    <t>TEİAŞ Genel Müdürlüğü tarafından 13.04.2021 tarihinde ihalesi yapılacaktır.</t>
  </si>
  <si>
    <t>08.02.2021 tarihinde enerjili geçici kabulü yapılarak tesis çalışmaları tamamlanmıştır.</t>
  </si>
  <si>
    <t>TEİAŞ Genel Müdürlüğü tarafından 09.03.2021 tarihinde ihalesi yapıldı. İhale onay süreci devam etmektedir.</t>
  </si>
  <si>
    <t>BAKIRKÖY SOSYAL GÜVENLİK MERKEZİ</t>
  </si>
  <si>
    <t>SOSYAL GÜVENLİK MERKEZİ (3500 M2)</t>
  </si>
  <si>
    <t>KÜÇÜKÇEKMECE SOSYAL GÜVENLİK MERKEZİ</t>
  </si>
  <si>
    <t>SOSYAL GÜVENLİK MERKEZİ (5222 M2)</t>
  </si>
  <si>
    <t>ÇATALCA SOSYAL GÜVENLİK MERKEZİ</t>
  </si>
  <si>
    <t>SOSYAL GÜVENLİK MERKEZİ (3026,56 M2)</t>
  </si>
  <si>
    <t>YENİ BİNA YAPIMI</t>
  </si>
  <si>
    <t>KAMU ORTAK ATM</t>
  </si>
  <si>
    <t>MUHTELİF İLÇELERDE</t>
  </si>
  <si>
    <t>PTTMATİK KURULUMU</t>
  </si>
  <si>
    <t>PTTBANK KONSEPTİNE GÖRE DÜZENLEME YAPILMASI</t>
  </si>
  <si>
    <t>MEFRUŞAT TEÇHİZAT</t>
  </si>
  <si>
    <t>09.04.2018 tarihinde yer teslimi yapılmış olup, inşaat çalışmaları devam etmektedir.</t>
  </si>
  <si>
    <t>Etüd çalışmaları devam etmektedir.</t>
  </si>
  <si>
    <t>48.000.000.-TL olan projenin tamamı ve program yılı ödeneği olan 15.000.000.-TL nin tamamı tüm illerin toplamı olarak Ankara'da gösterilmiş olup harcama yapılması durumunda yılsonunda illere yansıtılacağından, henüz İstanbul İline ayrılan ödenek belli değildir.</t>
  </si>
  <si>
    <t xml:space="preserve"> Program yılı ödeneği olan 15.000.000.-TL nin tamamı tüm illerin toplamı olarak Ankara'da gösterilmiş olup harcama yapılması durumunda yılsonunda illere yansıtılacağından, henüz İstanbul İline ayrılan ödenek belli değildir.</t>
  </si>
  <si>
    <t>İstanbul'da 141 adet Kargomatik hizmete sunulmuş olup,hizmetlerin kesintisiz sürdürülebilmesi için ihtiyaç duyulan mobilya, mefruşat, makine techizat vs alımları yapılacaktır.</t>
  </si>
  <si>
    <t>Biyolojik Çeşitlilik</t>
  </si>
  <si>
    <t>Milli Parklar</t>
  </si>
  <si>
    <t>Yaban Hayatı</t>
  </si>
  <si>
    <t xml:space="preserve">Biyolojik Çeşitliliğe Dayalı Geleneksel Bilginin Kayıt Altına Alınması </t>
  </si>
  <si>
    <t>Tabiat Parkları</t>
  </si>
  <si>
    <t>Muhtelif Etütler</t>
  </si>
  <si>
    <t>Sokak Hayvanlarının Rehabilitasyonu</t>
  </si>
  <si>
    <t>Muhtelif</t>
  </si>
  <si>
    <t>Polonezköy (Beykoz)</t>
  </si>
  <si>
    <t>Muhtelif (Beykoz)</t>
  </si>
  <si>
    <t>Elmasburnu (Beykoz)</t>
  </si>
  <si>
    <t xml:space="preserve">Muhtelif </t>
  </si>
  <si>
    <t>İhale Yapıldı, Sözleşme Sürecinde</t>
  </si>
  <si>
    <t>İhale Sürecinde, İlana Çıktı</t>
  </si>
  <si>
    <t>Faaliyet Devam Ediyor</t>
  </si>
  <si>
    <t>Sokak Hayvanlarının Kısırlarlaştırılmasına Yönelik Belediyelere Yapılacak Sermaye Transferleri</t>
  </si>
  <si>
    <t>Nükleer ve Radyasyon Alanlarında Uygulama ve AR_GE Projeleri</t>
  </si>
  <si>
    <t>Derslik ve Merkezi Birimler (135-136)</t>
  </si>
  <si>
    <t>Çapa Yerleşkesi Hastanesi 1.Etap (166) (138) Gayrimenkul Karşılığı</t>
  </si>
  <si>
    <t xml:space="preserve">Çapa Yerleşkesi Dahiliye Hastanesi (145)                                                                        </t>
  </si>
  <si>
    <t>Muhtelif İşler                                            Döner Sermaye</t>
  </si>
  <si>
    <t>Hasdal Yerleşkesi 1.Etap (138) Gayrimenkul Karşılığı</t>
  </si>
  <si>
    <t>Tarihi Binaların Onarım ve Restorasyonu (155)</t>
  </si>
  <si>
    <t>Nörodejeneratif ve Nöroinflamatuvar Hastalıklar Araştırma Altyapısı</t>
  </si>
  <si>
    <t>Rektörlük Bilimsel Araştırma Projeleri (230)</t>
  </si>
  <si>
    <t>Hulusi Behçet Araştırma Merkezi(243)</t>
  </si>
  <si>
    <t>Eğitim (51.000 m2), Kütüphane (13.000 m2)Sosyal Donatı (8.600 m2), Biyomühendislik Bölüm Binası 29.900 m2) Merkezi Kütüphane (13.000 m2) Turan Emeksiz Yemekhane (8.600 m2) Edebiyat Fak.Geçici Derslik Bin.( 2.100 m2) Vefa Yerleşkesi Eğitim Bin.(10.000 m2) Açık ve Uzaktan Eğitim Fakültesi (9.000 m2)</t>
  </si>
  <si>
    <t xml:space="preserve">Büyük Onarım, Bilgi ve İletişim Teknolojileri Kesin Hesap, Makine-Teçhizat, </t>
  </si>
  <si>
    <t>Hastane İnşaatı (38.000 m2),190 yatak)</t>
  </si>
  <si>
    <t>Çevre Düzenlemesi,(498.836 m2) Etüd-Proje,Hastane İnş.(712 yatak,378.836 m2)</t>
  </si>
  <si>
    <t>Araştırma Desteği, Bilgi ve İletişim Teknolojileri, Etüd-Proje, Müşavirlik, Mak.Teçh.</t>
  </si>
  <si>
    <t>Bakım Onarım,Makine Teçhizat</t>
  </si>
  <si>
    <t>Büyük  Onarım ,Makine Teçhizat, Teknolojik Araştırma</t>
  </si>
  <si>
    <t>Bakım Onarım, Makine Teçhizat, Teknolojik Araştırma</t>
  </si>
  <si>
    <t>12000000</t>
  </si>
  <si>
    <t>Muhtelif İşler (Eğitim)</t>
  </si>
  <si>
    <t>Üniversite Bilgi Yöetim Sistemi</t>
  </si>
  <si>
    <t>Muhtelif İşler (Sağlık)</t>
  </si>
  <si>
    <t>Merkezi Derslik ve Ortak Zemin Bloku (52.850 m²)
-Laboratuvar Binası (20.635 m²)</t>
  </si>
  <si>
    <t>BİT, Danışmanlık, Makine-Teçhizat, Müşavirlik/Kontrollük</t>
  </si>
  <si>
    <t>Makine – Teçhizat</t>
  </si>
  <si>
    <t>Proje kapsamında altyapı çalışmaları yapılmaktadır. Merkezi Derslik kampüs projemizde altyapı ve çevre düzenleme işleri bulunmaktadır.</t>
  </si>
  <si>
    <t>Doğrudan Temin ile Harcamalar yapılarak projeler hazırlanmaktadır.</t>
  </si>
  <si>
    <t>Doğrudan Temin (Yurtdışı E-Yayın Alımları Da Mevcut) yoluyla alımlar yapılmaktadır.</t>
  </si>
  <si>
    <t>Doğrudan Temin ve Diğer Alım Usulleriyle (DMO vb.) alımlar yapılmaktadır.</t>
  </si>
  <si>
    <t>Proje Kapsamında Üniversitemiz Diş Hekimliği Fakültesinin ihtiyaçları karşılanmaktadır.</t>
  </si>
  <si>
    <t>BEYOĞLU BELEDİYE BAŞKANLIĞI</t>
  </si>
  <si>
    <t>Beyoğlu İlçe Sınırları Dahilinde Bulunan 2019-02 Yatırım Proje Numaralı Muhtelif Mahallelerde Asfalt Betonu Serilmesi ve Yolların Yenilenmesi Yapım İşi</t>
  </si>
  <si>
    <t xml:space="preserve">Beyoğlu </t>
  </si>
  <si>
    <t>Cadde ve Sokak Yapım İşleri</t>
  </si>
  <si>
    <t>Beyoğlu İlçe Sınırları Dahilinde Bulunan 2020-01 Yatırım Proje Numaralı Park ve Bahçelerde Çevre Düzenlemesi Yapım İşi</t>
  </si>
  <si>
    <t>Beyoğlu</t>
  </si>
  <si>
    <t>Peyzaj ve Çevre Düzenleme Çalışmaları</t>
  </si>
  <si>
    <t>Beyoğlu İlçe Sınırları Dahilinde Bulunan 2020-11 Yatırım Proje Numaralı Kamu Binaları ve Semt Konaklarının Bakım Onarımı Yapım İşi</t>
  </si>
  <si>
    <t>Bina İşleri</t>
  </si>
  <si>
    <t>Beyoğlu İlçe Sınırları Dahilinde Bulunan 2021-01 Yatırım Proje    
Numaralı Beyoğlu Belediyesi Hizmet Binaları Bakım OnarımıYapım İşi</t>
  </si>
  <si>
    <t xml:space="preserve">Göztepe Semiha Şakir Huzurevi Yaşlı Bakım ve Rehabilitasyon Merkezi </t>
  </si>
  <si>
    <t>İstanbul - Kadıköy</t>
  </si>
  <si>
    <t xml:space="preserve">Sultangazi Huzurevi Yaşlı Bakım ve Rehabilitasyon Merkezi </t>
  </si>
  <si>
    <t>İstanbul - Sultangazi</t>
  </si>
  <si>
    <t>Revize Etüt Proje</t>
  </si>
  <si>
    <t>İstanbul Esenler Sosyal Hizmet Merkezi</t>
  </si>
  <si>
    <t>İstanbul - Esenler</t>
  </si>
  <si>
    <t>Sosyal Hizmet Merkezi (4.000 m²)</t>
  </si>
  <si>
    <t>İstanbul Küçükçekmece Çocuk Evleri Sitesi</t>
  </si>
  <si>
    <t xml:space="preserve">İstanbul - Halkalı </t>
  </si>
  <si>
    <t>ÇES (1 adet, 3.000 m², 50 kişi)</t>
  </si>
  <si>
    <t>İstanbul Eyüp Çocuk Destek Merkezi</t>
  </si>
  <si>
    <t>İstanbul - Ağaçlı</t>
  </si>
  <si>
    <t>ÇODEM (1 adet, 3.000 m², 40 kişi)</t>
  </si>
  <si>
    <t>İstanbul Sancaktepe Çocuk Evleri Sitesi</t>
  </si>
  <si>
    <t>İstanbul - Sancaktepe</t>
  </si>
  <si>
    <t>ÇES (1 adet, 4.500 m², 100 kişi)</t>
  </si>
  <si>
    <t>İstanbul İl Müd. Hiz. Binası + Sosyal Hiz. Merk.</t>
  </si>
  <si>
    <t>İstanbul - Bahçelievler</t>
  </si>
  <si>
    <t>SHM + İl Müd. (25.000 m², 1 adet)</t>
  </si>
  <si>
    <t xml:space="preserve">2017
</t>
  </si>
  <si>
    <t>Organik Tarımın Yaygınlaştırılması Ve Kontrolü Projesi</t>
  </si>
  <si>
    <t>Muhtelif İlçeler</t>
  </si>
  <si>
    <t>İyi Tarım Uygulamalarının Yaygınlaştırılması Ve Kontrolü Projesi</t>
  </si>
  <si>
    <t>Çayır Mera Islah ve Amenajman Projesi</t>
  </si>
  <si>
    <t>Tarım Arazilerinin Kullanımının Etkinleştirilmesi Projesi</t>
  </si>
  <si>
    <t>Su Ürünleri Üretimin Geliştirilmesi Projesi</t>
  </si>
  <si>
    <t>Sularda Tarımsal Faaliyetlerden Kaynaklanan Kirliliğin Kontrolü Projesi</t>
  </si>
  <si>
    <t>Bitki Sağlığı Uygulamaları Ve Kontrolü Projesi - B.Ü. Karantina Hizmetleri</t>
  </si>
  <si>
    <t>Bitki Sağlığı Uygulama Kontrol - Bitki Sağlığı Hizm. Etkinleştirilmesi</t>
  </si>
  <si>
    <t>Hayvan Sağlığının Korunması Projesi</t>
  </si>
  <si>
    <t>Gıda Ve Yem Numune Alma Hizmetlerinin Geliştirilmesi</t>
  </si>
  <si>
    <t>Kırsal Kalkınma Yatırımlarının Desteklenmesi Projesi</t>
  </si>
  <si>
    <t>(YİKOB) Kontrol Hizmetlerinin Geliştirilmesi Projesi</t>
  </si>
  <si>
    <t xml:space="preserve">(YİKOB) Su Ürünleri Üretiminin Geliştirilmesi Projesi </t>
  </si>
  <si>
    <t xml:space="preserve">Kurumsal  Kapasitenin Geliştirilmesi Projesi </t>
  </si>
  <si>
    <t>Kontrol Hizmetlerinin Geliştirilmesi Projesi</t>
  </si>
  <si>
    <t>Hacı Mimi Camii, Sütlüce Mahmut Ağa Camii ile Yahya Kahya Camii</t>
  </si>
  <si>
    <t>Proje</t>
  </si>
  <si>
    <t xml:space="preserve">83 pafta, 583 ada, 7 parselde bulunan vakıf kültür ahsap konak </t>
  </si>
  <si>
    <t>Gazi Ahmet Paşa Külliyesi</t>
  </si>
  <si>
    <t>Fatih</t>
  </si>
  <si>
    <t>Kefevi Camii </t>
  </si>
  <si>
    <t>Ekmekçibaşı Camii</t>
  </si>
  <si>
    <t>Beşiktaş</t>
  </si>
  <si>
    <t xml:space="preserve">Hacı Mimi Mah. Tapunun 145 ada 102 parselinde vakıf taşınmaz konut uygulama projeleri </t>
  </si>
  <si>
    <t xml:space="preserve">Ortaköy Mah.Amcabey Sokak tapunun 45 ada 19 parselinde vakıf taşınmaz konut uygulama projeleri </t>
  </si>
  <si>
    <t xml:space="preserve">Ortaköy Mah. Revanici Sokak 61 ada 20-21 parsel  vakıf taşınmaz konut uygulama projeleri </t>
  </si>
  <si>
    <t>Haydar Paşa Hamamı</t>
  </si>
  <si>
    <t>11.01.2019</t>
  </si>
  <si>
    <t>Mehmet Ağa Camii</t>
  </si>
  <si>
    <t>18.05.2018</t>
  </si>
  <si>
    <t xml:space="preserve">Sinagog ve Aynı Parsel İçerisinde bulunan 2 Adet Taşınmazın Çevre Düzenlemesi </t>
  </si>
  <si>
    <t>II. Beyazıt Medresesi Restorasyonu ve Müze Teşhir Tanzim İşi</t>
  </si>
  <si>
    <t>Uygulama</t>
  </si>
  <si>
    <t>16.06.2014</t>
  </si>
  <si>
    <t>Beyazıt Cami</t>
  </si>
  <si>
    <t>13.08.2012</t>
  </si>
  <si>
    <t>20.08.2021</t>
  </si>
  <si>
    <t>Mahmut Paşa Camii Tamamlama ve Hazire ile Çevre Düzenlemesi</t>
  </si>
  <si>
    <t>Yeni Camii</t>
  </si>
  <si>
    <t>28.03.2016</t>
  </si>
  <si>
    <t>Muradiye Camii </t>
  </si>
  <si>
    <t xml:space="preserve">Beşiktaş </t>
  </si>
  <si>
    <t>Kasımpaşa Mevlevihanesi </t>
  </si>
  <si>
    <t>Ferruh Kethüda Camii </t>
  </si>
  <si>
    <t xml:space="preserve">Fatih </t>
  </si>
  <si>
    <t>Helvacıbaşı İskenderağa Camii </t>
  </si>
  <si>
    <t>Süleymaniye Külliyesinde İmaret Alt Katı</t>
  </si>
  <si>
    <t>Kumrulu Mescid</t>
  </si>
  <si>
    <t>Hoca Kasım Günani </t>
  </si>
  <si>
    <t>Teşvikiye Camii </t>
  </si>
  <si>
    <t>Şişli</t>
  </si>
  <si>
    <t>Mesih Ali Paşa Camii </t>
  </si>
  <si>
    <t>Bekir Paşa Camii </t>
  </si>
  <si>
    <t>Molla Gürani Camii</t>
  </si>
  <si>
    <t>Sina Baldukyasko (Terra Santa) Kilisesi</t>
  </si>
  <si>
    <t>20.07.2018</t>
  </si>
  <si>
    <t>Fethiye ( Kilise ) Camii</t>
  </si>
  <si>
    <t>Soğukçeşme Askeri Rüştiyesi</t>
  </si>
  <si>
    <t>Güngörmez Mescidi, Tunuslu Hayrettin Paşa Türbesi, Haziresi ve 1.Ahmet Sebili</t>
  </si>
  <si>
    <t>14.12.2018</t>
  </si>
  <si>
    <t>Bostani Ali Ağa Camii ve Marputçular Camii Minaresi</t>
  </si>
  <si>
    <t>19.11.2018</t>
  </si>
  <si>
    <t>Hacı Kemalettin Camii ve Dükkanları</t>
  </si>
  <si>
    <t>19.10.2018</t>
  </si>
  <si>
    <t>Kürkçübaşı Ahmet Şemsettin Camii Tamamlama</t>
  </si>
  <si>
    <t>Eminönü Muhsine Hatun Camii</t>
  </si>
  <si>
    <t>Ali Kethuda Camii</t>
  </si>
  <si>
    <t>05.12.2019</t>
  </si>
  <si>
    <t>26.07.2021</t>
  </si>
  <si>
    <t xml:space="preserve">Süleymaniye Külliyesi Darüşşifası ve Dürüşşifa Bünyesindeki Sıra Odaların </t>
  </si>
  <si>
    <t>19.11.2019</t>
  </si>
  <si>
    <t>18.10.2021</t>
  </si>
  <si>
    <t>Muhtesip İskender Camii</t>
  </si>
  <si>
    <t>30.12.2019</t>
  </si>
  <si>
    <t>Küçükpiyale Mah. Pişmaniye Sokağında, tapunun 1160 ada, 6 parselinde bulunan vakıf taşınmaz üzerine konut İnşaatı yapım işi</t>
  </si>
  <si>
    <t>25.10.2019</t>
  </si>
  <si>
    <t>26.04.2021</t>
  </si>
  <si>
    <t>Kartaltepe Mah. Yücetarla Caddesi, tapunun 450 ada, 14 parselde bulunan Vakıf Taşınmaz Üzerine Konut İnşaat Yapım İşi</t>
  </si>
  <si>
    <t>23.12.2019</t>
  </si>
  <si>
    <t>Karababa Tekkesi ve Türbesi Uygulama İşi</t>
  </si>
  <si>
    <t>Benlizade Ahmet Reşit Efendi Türbesi, Sebili, Haziresi ve Çevre Düzenlemesi</t>
  </si>
  <si>
    <t>Güzelce Kasımpaşa Camii ve Çevre Düzenlemesi Uygulama İşi</t>
  </si>
  <si>
    <t>Fatma Sultan Sıbyan Mektebi ve Çevre Düzenlemesi Uygulama İşi</t>
  </si>
  <si>
    <t>Nur-u Osmaniye Külliyesinde Camii dış Avlu Zemini Restorasyon İşi</t>
  </si>
  <si>
    <t>1900 ada 90 parsel Vakıf Evi Tamamlama İnşaatı Yapılması İşi</t>
  </si>
  <si>
    <t>Ferhat Paşa Camii Çatı ve ahşap Tavan Kaplaması Restorasyon İşi</t>
  </si>
  <si>
    <t>Ayasofya Camii WC Onarımı</t>
  </si>
  <si>
    <t>AVCILAR DEVLET HASTANESİ (200 Ytk)</t>
  </si>
  <si>
    <t>AVCILAR 
Üniversite Mh.</t>
  </si>
  <si>
    <t>DEVLET HASTANESİ</t>
  </si>
  <si>
    <t>İSTANBUL (BAHÇELİEVLER) FİZİK TEDAVİ REHABİLİTASYON EAH. İKMAL YAPIM İŞİ(400 Ytk)</t>
  </si>
  <si>
    <t>B.EVLER
Siyavuşpaşa Adnan Kahveci Bulvarı</t>
  </si>
  <si>
    <t>KÜÇÜKÇEKMECE SYM + 12 NOLU ASM YAPIMI</t>
  </si>
  <si>
    <t>K.ÇEKMECE
Cumhuriyet Mah. Yıldız Sk.</t>
  </si>
  <si>
    <t>AİLE SAĞLIĞI MERKEZİ</t>
  </si>
  <si>
    <t>BAĞCILAR DEVLET HASTANESİ  EK BİNA KADIN DOĞUM ÇOCUK HASTANESİ EK BİNA (300 ytk.)</t>
  </si>
  <si>
    <t>BAĞCILAR 
Merkez Mah. Mimarsinan Cad.6 Sok.</t>
  </si>
  <si>
    <t>ESENYURT YENİ DEVLET HASTANESİ EK BİNA (250 ytk)</t>
  </si>
  <si>
    <t xml:space="preserve">ESENYURT
Fatih Mah. </t>
  </si>
  <si>
    <t>BAĞCILAR
Kazım Karabekir Mah.</t>
  </si>
  <si>
    <t>SAĞLIK KOMPLEKSİ</t>
  </si>
  <si>
    <t>BAĞCILAR
Demirkapı Mah.</t>
  </si>
  <si>
    <t>BAĞCILAR
Göztepe Mah.</t>
  </si>
  <si>
    <t>BAĞCILAR Yenimahalle Mh.</t>
  </si>
  <si>
    <t>BAKIRKÖY
Osmaniye Mah.</t>
  </si>
  <si>
    <t>BAĞCILAR Yenigün Mh.</t>
  </si>
  <si>
    <t>BAĞCILAR
Kirazlı Mah.</t>
  </si>
  <si>
    <t>ÇEKMEKÖY
Kirazlıdere Mah.</t>
  </si>
  <si>
    <t>ÜMRANİYE-
Yukarı Dudullu Mah.</t>
  </si>
  <si>
    <t>ÜMRANİYE Aşağıdudullu Mh.</t>
  </si>
  <si>
    <t>KARTAL
Soğanlık Mah.</t>
  </si>
  <si>
    <t>ESENLER ORUÇREİS ASM (5 AHB) TİP 1</t>
  </si>
  <si>
    <t>ESENLER Oruçreis Mh.</t>
  </si>
  <si>
    <t>ŞİLE AĞVA AİLE SAĞLIĞI MERKEZİ (5 AHB)</t>
  </si>
  <si>
    <t xml:space="preserve">ŞİLE  AĞVA </t>
  </si>
  <si>
    <t>PENDİK ERTUĞRULGAZİ ASM (5 AHB) TİP 1</t>
  </si>
  <si>
    <t>PENDİK
Ertuğrulgazi Mah.</t>
  </si>
  <si>
    <t>EYÜPSULTAN NİŞANCA DR.YAVUZ KALAYCIOĞLU ASM(5AHB)</t>
  </si>
  <si>
    <t>EYÜPSULTAN
Nişanca Mah.</t>
  </si>
  <si>
    <t>İSTANBUL BEYOĞLU GÖZ HASTALIKLARI HASTANESİ (100 YTK)</t>
  </si>
  <si>
    <t>KAĞITHANE
Okmeydanı Darülaceze caddesi</t>
  </si>
  <si>
    <t>GÖZ HASTANESİ</t>
  </si>
  <si>
    <t>SEYRANTEPE DEVLET HASTANESİ REVİZE KADIN DOĞUM VE ÇOCUK BLOĞU İNŞAAT İŞİ (216 Ytk)</t>
  </si>
  <si>
    <t>SARIYER-
Seyrantepe Tem Kuzey Yolu.</t>
  </si>
  <si>
    <t>HASEKİ EĞİTİM ARAŞTIRMA HASTANESİ EK BİNA YAPIMI (500 Ytk.)</t>
  </si>
  <si>
    <t>FATİH
Millet Caddesi</t>
  </si>
  <si>
    <t>SÜREYYAPAŞA GÖĞÜS HASTALIKLARI VE GÖĞÜS CERRAHİ EAH. EK BLOK(ÇELİK KONSTRÜKSİYON) YAPIMI (10 YTK)</t>
  </si>
  <si>
    <t>MALTEPE
Başıbüyük Yolu</t>
  </si>
  <si>
    <t>EK HİZMET BİNASI</t>
  </si>
  <si>
    <t>BAYRAMPAŞA YENİ DEVLET HASTANESİ YAPIMI (300 YTK)</t>
  </si>
  <si>
    <t>BAYRAMPAŞA
Tuna Caddesi</t>
  </si>
  <si>
    <t>PENDİK DEVLET HASTANESİ(400 YTK)</t>
  </si>
  <si>
    <t>PENDİK
Batı Mah. Adil Sok.</t>
  </si>
  <si>
    <t>İSTANBUL BAĞCILAR DEVLET HASTANMESİ (400 YTK)</t>
  </si>
  <si>
    <t>BAĞCILAR İLÇESİ</t>
  </si>
  <si>
    <t>İSTANBUL ESENLER DEVLET HASTANESİ (400 YTK)</t>
  </si>
  <si>
    <t>ESENLER İLÇESİ</t>
  </si>
  <si>
    <t>İSTANBUL ESENYURT DEVLET HASTANESİ (500 YTK)</t>
  </si>
  <si>
    <t>ESENYURT İLÇESİ</t>
  </si>
  <si>
    <t>İSTANBUL KEMERBURGAZ DEVLET HASTANESİ(200 YTK)</t>
  </si>
  <si>
    <t>EYÜP Kemerburgaz Bölgesi</t>
  </si>
  <si>
    <t>İSTANBUL ERENKÖY RUH VE SİNİR HASTALIKLARI HASTANESİ (200YTK)</t>
  </si>
  <si>
    <t>KADIKÖY Erenköy Sinan Ercan Caddesi</t>
  </si>
  <si>
    <t>İSTANBUL MARMARA ÜNİV. BAŞIBÜYÜK BİNASI ONARIMI</t>
  </si>
  <si>
    <t>MALTEPE Başıbüyük Mah.</t>
  </si>
  <si>
    <t>İSTANBUL SANCAKTEPE ŞEHİR HASTANESİ 1.ETAP(2100YTK)</t>
  </si>
  <si>
    <t>SANCAKTEPE
Samandıra Osman Gazi Caddesi</t>
  </si>
  <si>
    <t>ŞEHİR HASTANESİ</t>
  </si>
  <si>
    <t>İSTANBUL TUZLA AĞIZ VE DİŞ SAĞLIĞI MERKEZİ</t>
  </si>
  <si>
    <t>AĞIZ VE DİŞ SAĞLIĞI MERKEZİ</t>
  </si>
  <si>
    <t>İSTANBUL ÜSKÜDAR DEVLET HASTANESİ</t>
  </si>
  <si>
    <t>İSTANBUL PENDİK DEVLET HASTANESİ ACİL SERVİS BİNASI</t>
  </si>
  <si>
    <t>İSTANBUL ÜMRANİYE DEVLET HASTANESİ VE AĞIZ VE DİŞ SAĞLIĞI MERKEZİ</t>
  </si>
  <si>
    <t>DEVLET HASTANESİ + ADSM</t>
  </si>
  <si>
    <t>GEMİ HASTANESİ</t>
  </si>
  <si>
    <t>KADIKÖY SAĞLIK KOMPLEKSİ(SHM+İSM+ASM (5 AHB))</t>
  </si>
  <si>
    <t>KADIKÖY
Osmanağa Mh.</t>
  </si>
  <si>
    <t>ESENLER SAĞLIK KOMPLEKSİ (İSM+TRSM+ASM(6AHB)+112 ASHİ+SHM)</t>
  </si>
  <si>
    <t>ESENLER
Atışalanı Mah.Tuna Caddesi</t>
  </si>
  <si>
    <t>SİLİVRİ SAĞLIK KOMPLEKSİ (İSM+TRSM+ASM(10 AHB)+112 ASHİ+SHM)</t>
  </si>
  <si>
    <t>SİLİVRİ
Alibey Mah.</t>
  </si>
  <si>
    <t>ARNAVUTKÖY SAĞLIK KOMPLEKSİ (İSM+ASM(10 AHB)+112 ASHİ+VSD+TRSM)</t>
  </si>
  <si>
    <t>ARNAVUTKÖY
Merkez Mah.</t>
  </si>
  <si>
    <t>BAYRAMPAŞA SAĞLIK KOMPLEKSİ (İSM +ASM(6 AHB)+112 ASHİ+SHM+TRSM)</t>
  </si>
  <si>
    <t>BAYRAMPAŞA
Merkez Mah.</t>
  </si>
  <si>
    <t>ŞİŞLİ (MECİDİYEKÖY) SAĞLIK KOMPLEKSİ (İSM+ASM(8 AHB)+VSD+112ASHİ)</t>
  </si>
  <si>
    <t>ŞİŞLİ 
Mecidiyeköy Avni Dilligil Sk.</t>
  </si>
  <si>
    <t>BEYLİKDÜZÜ SAĞLIK KOMPLEKSİ  (İSM+TRSM+ASM(4 AHB)+VSD+112 ASHİ)</t>
  </si>
  <si>
    <t>BEYLİKDÜZÜ
Kavaklı Mah.Gürsoy Sk.</t>
  </si>
  <si>
    <t>SANCAKTEPE SAĞLIK KOMPLEKSİ  (İSM+TRSM+ASM(5AHB)+112 ASHİ+SHM)</t>
  </si>
  <si>
    <t>SANCAKTEPE
Samandıra Erüven Sk.</t>
  </si>
  <si>
    <t>İSTANBUL KINALIADA 112 ASHİ</t>
  </si>
  <si>
    <t>ADALAR
Kınalıada</t>
  </si>
  <si>
    <t>112 ACİL YARDIM İSTASYONU</t>
  </si>
  <si>
    <t>İSTANBUL SİLİVRİ KAVAKLI AİLE SAĞLIĞI MERKEZİ (3 AHB)</t>
  </si>
  <si>
    <t>SİLİVRİ
Kavaklı Mah.</t>
  </si>
  <si>
    <t xml:space="preserve">İSTANBUL ATAŞEHİR HALK SAĞ. LAB.+ TSM + SAĞLIKLI HAYAT MERKEZİ </t>
  </si>
  <si>
    <t>ATAŞEHİR
Örnek Mah.</t>
  </si>
  <si>
    <t>GAZİOSMANPAŞA SAĞLIK KOMPLEKSİ (SHM + ASM (9 AHB))</t>
  </si>
  <si>
    <t>GO.PAŞA
Merkez Mah.</t>
  </si>
  <si>
    <t>BAĞCILAR MAHMUTBEY SAĞLIKLI HAYAT MERKEZİ + ASM(7 AHB)</t>
  </si>
  <si>
    <t>BAĞCILAR
Mahmurtbey Mah.</t>
  </si>
  <si>
    <t>SARIYER YENİKÖY SAĞLIKLI HAYAT MERKEZİ +ASM(8 AHB)</t>
  </si>
  <si>
    <t>SARIYER
Yeniköy Mah.</t>
  </si>
  <si>
    <t>BEYLİKDÜZÜ GÜRPINAR AİLE SAĞLIĞI MERKEZİ( 9 AHB)</t>
  </si>
  <si>
    <t>BEYLİKDÜZÜ
Gürpınar Mah.</t>
  </si>
  <si>
    <t>ANADOLU YAKASI AMATEM MERKEZİ(100.YTK)</t>
  </si>
  <si>
    <t>REHABİLİTASYON MERKEZİ</t>
  </si>
  <si>
    <t>AVRUPA YAKASI AMATEM MERKEZİ(50.YTK)</t>
  </si>
  <si>
    <t>ANADOLU YAKASI ÇEMATEM MERKEZİ(15.YTK)</t>
  </si>
  <si>
    <t>ATAŞEHİR SAĞLIK KOMPLEKSİ (SHM+İSM+ASM(10 AHB)+112 ASHİ)</t>
  </si>
  <si>
    <t>ATAŞEHİR
İstiklal Mah.</t>
  </si>
  <si>
    <t>BEYKOZ SAĞLIK HAYAT MERKEZİ +ASM (9 AHB)</t>
  </si>
  <si>
    <t>BEYKOZ
Göksu Evleri</t>
  </si>
  <si>
    <t>BEYLİKDÜZÜ SHM+KAVAKLI 1 NOLU ASM (8 AHB)</t>
  </si>
  <si>
    <t>BEYLİKDÜZÜ
Kavaklı Mah</t>
  </si>
  <si>
    <t>BÜYÜKÇEKMECE KUMBURGAZ ASM (5 AHB)</t>
  </si>
  <si>
    <t>BÜYÜKÇEKMECE
Kumburgaz Mah</t>
  </si>
  <si>
    <t>ÇEKMEKÖY SAĞLIKLI HAYAT MERKEZİ</t>
  </si>
  <si>
    <t>ÇEKMEKÖY
Merkez Mah.</t>
  </si>
  <si>
    <t xml:space="preserve">KARTAL SHM + VSD + MERKEZ ASM (8 AHB) </t>
  </si>
  <si>
    <t>KARTAL
Yukarı Mah.</t>
  </si>
  <si>
    <t>MALTEPE SHM +  6 NOLU ASM (6 AHB)</t>
  </si>
  <si>
    <t>MALTEPE
Altıntepe Mah.</t>
  </si>
  <si>
    <t>MALTEPE  SHM + 3 NOLU ASM (8 AHB)</t>
  </si>
  <si>
    <t>MALTEPE 
Feyzullah Mah.</t>
  </si>
  <si>
    <t>TUZLA SAĞLIKLI HAYAT MERKEZİ + İSTASYON ASM (4 AHB)</t>
  </si>
  <si>
    <t>TUZLA
İstasyon Mah</t>
  </si>
  <si>
    <t>TUZLA SAĞLIKLI HAYAT MERKEZİ</t>
  </si>
  <si>
    <t>TUZLA
Merkez Mah.</t>
  </si>
  <si>
    <t>ÜMRANİYE SAĞLIKLI HAYAT MERKEZİ +  YAMANEVLER ASM (8 AHB) + VSD</t>
  </si>
  <si>
    <t>ÜMRANİYE
Yamanevler Mah.</t>
  </si>
  <si>
    <t>EYÜP GÖKTÜRK ASM (5 AHB) TİP 1</t>
  </si>
  <si>
    <t>EYÜPSULTAN
Göktürk Merkez Mah.</t>
  </si>
  <si>
    <t>GÜNGÖREN MERKEZ ASM (5 AHB)</t>
  </si>
  <si>
    <t>GÜNGÖREN Merkez Mh.</t>
  </si>
  <si>
    <t>ESENLER TUNA AİLE SAĞLIĞI MERKEZİ(9 AHB)</t>
  </si>
  <si>
    <t>ESENLER Tuna Mh.</t>
  </si>
  <si>
    <t>ESENYURT SÜLEYMANİYE ASM (7 AHB)</t>
  </si>
  <si>
    <t>ESENYURT Süleymaniye Mh.</t>
  </si>
  <si>
    <t>ÜMRANİYE PARSELLER ASM (5 AHB)</t>
  </si>
  <si>
    <t>ÜMRANİYE Paeseller Mah.</t>
  </si>
  <si>
    <r>
      <t>BAĞCILAR KAZIMKARABEKİR ASM(8 AHB)  (</t>
    </r>
    <r>
      <rPr>
        <b/>
        <sz val="12"/>
        <rFont val="Times New Roman"/>
        <family val="1"/>
        <charset val="162"/>
      </rPr>
      <t>1.KISIM)</t>
    </r>
  </si>
  <si>
    <r>
      <rPr>
        <b/>
        <sz val="12"/>
        <color indexed="8"/>
        <rFont val="Arial"/>
        <family val="2"/>
        <charset val="162"/>
      </rPr>
      <t>Tasfiye Edildi.</t>
    </r>
    <r>
      <rPr>
        <sz val="12"/>
        <color indexed="8"/>
        <rFont val="Arial"/>
        <family val="2"/>
        <charset val="162"/>
      </rPr>
      <t xml:space="preserve"> ( % 27 fiziki gerçekleşmededir.22.04.2020 tarih ve E.1474 sayılı Makam Onayı tasfiye edilmiştir.İkmal ihalesi için çalışmalar devam etmektedir.)</t>
    </r>
  </si>
  <si>
    <r>
      <rPr>
        <b/>
        <sz val="12"/>
        <color indexed="8"/>
        <rFont val="Arial"/>
        <family val="2"/>
        <charset val="162"/>
      </rPr>
      <t>Devam Ediyor.</t>
    </r>
    <r>
      <rPr>
        <sz val="12"/>
        <color indexed="8"/>
        <rFont val="Arial"/>
        <family val="2"/>
        <charset val="162"/>
      </rPr>
      <t xml:space="preserve"> (</t>
    </r>
    <r>
      <rPr>
        <sz val="12"/>
        <rFont val="Arial"/>
        <family val="2"/>
        <charset val="162"/>
      </rPr>
      <t xml:space="preserve"> % 39 fiziki gerçekleşme ile iş devam etmektedir.)</t>
    </r>
  </si>
  <si>
    <r>
      <rPr>
        <b/>
        <sz val="12"/>
        <color indexed="8"/>
        <rFont val="Arial"/>
        <family val="2"/>
        <charset val="162"/>
      </rPr>
      <t>Devam Ediyor. (</t>
    </r>
    <r>
      <rPr>
        <sz val="12"/>
        <color indexed="8"/>
        <rFont val="Arial"/>
        <family val="2"/>
        <charset val="162"/>
      </rPr>
      <t xml:space="preserve"> % 84 fiziki gerçekleşme ile devam etmektedi</t>
    </r>
    <r>
      <rPr>
        <sz val="12"/>
        <rFont val="Arial"/>
        <family val="2"/>
        <charset val="162"/>
      </rPr>
      <t>r.Bağışçı tarafından yapılmaktadır.)</t>
    </r>
  </si>
  <si>
    <t>Devam Ediyor.(%10 fiziki gerçekleşme ile iş devam etmektedir.)</t>
  </si>
  <si>
    <r>
      <rPr>
        <b/>
        <sz val="12"/>
        <rFont val="Arial"/>
        <family val="2"/>
        <charset val="162"/>
      </rPr>
      <t>Devam Ediyor.</t>
    </r>
    <r>
      <rPr>
        <sz val="12"/>
        <color rgb="FF000000"/>
        <rFont val="Arial"/>
        <family val="2"/>
        <charset val="162"/>
      </rPr>
      <t xml:space="preserve"> (% 8 fiziki gerçekleşme ile iş devam etmektedir. )</t>
    </r>
  </si>
  <si>
    <r>
      <rPr>
        <b/>
        <sz val="12"/>
        <rFont val="Arial"/>
        <family val="2"/>
        <charset val="162"/>
      </rPr>
      <t xml:space="preserve">Devam Ediyor. </t>
    </r>
    <r>
      <rPr>
        <sz val="12"/>
        <rFont val="Arial"/>
        <family val="2"/>
        <charset val="162"/>
      </rPr>
      <t xml:space="preserve"> (% 80 fiziki gerçekleşme ile iş devam ediyor.Yapım işi ihalesi paket olarak yapılmıştır.)</t>
    </r>
  </si>
  <si>
    <r>
      <rPr>
        <b/>
        <sz val="12"/>
        <rFont val="Arial"/>
        <family val="2"/>
        <charset val="162"/>
      </rPr>
      <t xml:space="preserve">Devam Ediyor. </t>
    </r>
    <r>
      <rPr>
        <sz val="12"/>
        <rFont val="Arial"/>
        <family val="2"/>
        <charset val="162"/>
      </rPr>
      <t xml:space="preserve"> (% 75 fiziki gerçekleşme ile iş devam ediyor.Yapım işi ihalesi paket olarak yapılmıştır.)</t>
    </r>
  </si>
  <si>
    <r>
      <rPr>
        <b/>
        <sz val="12"/>
        <rFont val="Arial"/>
        <family val="2"/>
        <charset val="162"/>
      </rPr>
      <t xml:space="preserve">Devam Ediyor. </t>
    </r>
    <r>
      <rPr>
        <sz val="12"/>
        <rFont val="Arial"/>
        <family val="2"/>
        <charset val="162"/>
      </rPr>
      <t xml:space="preserve"> (% 76 fiziki gerçekleşme ile iş devam ediyor.Yapım işi ihalesi paket olarak yapılmıştır.)</t>
    </r>
  </si>
  <si>
    <r>
      <rPr>
        <b/>
        <sz val="12"/>
        <rFont val="Arial"/>
        <family val="2"/>
        <charset val="162"/>
      </rPr>
      <t xml:space="preserve">Devam Ediyor. </t>
    </r>
    <r>
      <rPr>
        <sz val="12"/>
        <rFont val="Arial"/>
        <family val="2"/>
        <charset val="162"/>
      </rPr>
      <t xml:space="preserve"> (% 77 fiziki gerçekleşme ile iş devam ediyor.Yapım işi ihalesi paket olarak yapılmıştır.)</t>
    </r>
  </si>
  <si>
    <r>
      <rPr>
        <b/>
        <sz val="12"/>
        <rFont val="Arial"/>
        <family val="2"/>
        <charset val="162"/>
      </rPr>
      <t xml:space="preserve">Devam Ediyor.  </t>
    </r>
    <r>
      <rPr>
        <sz val="12"/>
        <rFont val="Arial"/>
        <family val="2"/>
        <charset val="162"/>
      </rPr>
      <t>(% 75 fiziki gerçekleşme ile iş devam ediyor.Yapım işi ihalesi paket olarak yapılmıştır.)</t>
    </r>
  </si>
  <si>
    <r>
      <rPr>
        <b/>
        <sz val="12"/>
        <rFont val="Arial"/>
        <family val="2"/>
        <charset val="162"/>
      </rPr>
      <t xml:space="preserve">Devam Ediyor.  </t>
    </r>
    <r>
      <rPr>
        <sz val="12"/>
        <rFont val="Arial"/>
        <family val="2"/>
        <charset val="162"/>
      </rPr>
      <t>(% 68 fiziki gerçekleşme ile iş devam ediyor.Yapım işi ihalesi paket olarak yapılmıştır.)</t>
    </r>
  </si>
  <si>
    <r>
      <rPr>
        <b/>
        <sz val="12"/>
        <rFont val="Arial"/>
        <family val="2"/>
        <charset val="162"/>
      </rPr>
      <t xml:space="preserve">Devam Ediyor.  </t>
    </r>
    <r>
      <rPr>
        <sz val="12"/>
        <rFont val="Arial"/>
        <family val="2"/>
        <charset val="162"/>
      </rPr>
      <t>(% 89 fiziki gerçekleşme ile iş devam ediyor.Yapım işi ihalesi paket olarak yapılmıştır.)</t>
    </r>
  </si>
  <si>
    <r>
      <rPr>
        <b/>
        <sz val="12"/>
        <rFont val="Arial"/>
        <family val="2"/>
        <charset val="162"/>
      </rPr>
      <t xml:space="preserve">Devam Ediyor.  </t>
    </r>
    <r>
      <rPr>
        <sz val="12"/>
        <rFont val="Arial"/>
        <family val="2"/>
        <charset val="162"/>
      </rPr>
      <t>(% 81fiziki gerçekleşme ile iş devam ediyor.Yapım işi ihalesi paket olarak yapılmıştır.)</t>
    </r>
  </si>
  <si>
    <r>
      <rPr>
        <b/>
        <sz val="12"/>
        <rFont val="Arial"/>
        <family val="2"/>
        <charset val="162"/>
      </rPr>
      <t xml:space="preserve">Devam Ediyor.  </t>
    </r>
    <r>
      <rPr>
        <sz val="12"/>
        <rFont val="Arial"/>
        <family val="2"/>
        <charset val="162"/>
      </rPr>
      <t>(% 58 fiziki gerçekleşme ile iş devam ediyor.Yapım işi ihalesi paket olarak yapılmıştır.)</t>
    </r>
  </si>
  <si>
    <r>
      <rPr>
        <b/>
        <sz val="12"/>
        <rFont val="Arial"/>
        <family val="2"/>
        <charset val="162"/>
      </rPr>
      <t xml:space="preserve">Devam Ediyor.  </t>
    </r>
    <r>
      <rPr>
        <sz val="12"/>
        <rFont val="Arial"/>
        <family val="2"/>
        <charset val="162"/>
      </rPr>
      <t>(% 88 fiziki gerçekleşme ile iş devam ediyor.Yapım işi ihalesi paket olarak yapılmıştır.)</t>
    </r>
  </si>
  <si>
    <r>
      <rPr>
        <b/>
        <sz val="12"/>
        <rFont val="Arial"/>
        <family val="2"/>
        <charset val="162"/>
      </rPr>
      <t>Devam Ediyor. (</t>
    </r>
    <r>
      <rPr>
        <sz val="12"/>
        <rFont val="Arial"/>
        <family val="2"/>
        <charset val="162"/>
      </rPr>
      <t>20.08.2020 tarihinde sözleşme yapılmış olup, 02/09/2020 tarihinde yer teslimi yapılmıştır. % 93 fiziki gerçekleşmede olup, çelik montajı yapılmaktadır.)</t>
    </r>
  </si>
  <si>
    <r>
      <rPr>
        <b/>
        <sz val="12"/>
        <color indexed="8"/>
        <rFont val="Arial"/>
        <family val="2"/>
        <charset val="162"/>
      </rPr>
      <t>Devam Ediyor.</t>
    </r>
    <r>
      <rPr>
        <sz val="12"/>
        <color indexed="8"/>
        <rFont val="Arial"/>
        <family val="2"/>
        <charset val="162"/>
      </rPr>
      <t xml:space="preserve"> (Ağvada temel kazı çalışmaları başlamıştır.)(Tuzla Aydınlı ASM yerine Şile Agva ASM yapımı yatırım programına alınmıştır.)</t>
    </r>
  </si>
  <si>
    <r>
      <rPr>
        <b/>
        <sz val="12"/>
        <rFont val="Arial"/>
        <family val="2"/>
        <charset val="162"/>
      </rPr>
      <t>Başlamadı.(</t>
    </r>
    <r>
      <rPr>
        <sz val="12"/>
        <rFont val="Arial"/>
        <family val="2"/>
        <charset val="162"/>
      </rPr>
      <t>Proje revizeleri yapılmaktadır.)</t>
    </r>
  </si>
  <si>
    <r>
      <rPr>
        <b/>
        <sz val="12"/>
        <color indexed="8"/>
        <rFont val="Arial"/>
        <family val="2"/>
        <charset val="162"/>
      </rPr>
      <t>Başlamadı</t>
    </r>
    <r>
      <rPr>
        <sz val="12"/>
        <color indexed="8"/>
        <rFont val="Arial"/>
        <family val="2"/>
        <charset val="162"/>
      </rPr>
      <t xml:space="preserve">.(Yapı ruhsatı alınamadığından inşaata başlanılamamıştır. Ruhsat alındığında yeniden ihaleye çıkılacaktır.)
</t>
    </r>
  </si>
  <si>
    <r>
      <rPr>
        <b/>
        <sz val="12"/>
        <color indexed="8"/>
        <rFont val="Arial"/>
        <family val="2"/>
        <charset val="162"/>
      </rPr>
      <t>Başlamadı.</t>
    </r>
    <r>
      <rPr>
        <sz val="12"/>
        <color indexed="8"/>
        <rFont val="Arial"/>
        <family val="2"/>
        <charset val="162"/>
      </rPr>
      <t>(Yeniden ihale hazırlıkları yapılmaktadır.)</t>
    </r>
  </si>
  <si>
    <r>
      <rPr>
        <b/>
        <sz val="12"/>
        <color indexed="8"/>
        <rFont val="Arial"/>
        <family val="2"/>
        <charset val="162"/>
      </rPr>
      <t>Başlamadı.(</t>
    </r>
    <r>
      <rPr>
        <sz val="12"/>
        <color indexed="8"/>
        <rFont val="Arial"/>
        <family val="2"/>
        <charset val="162"/>
      </rPr>
      <t>Etüt proje olarak 2021 yılı yatırm programına alınmıştır.)</t>
    </r>
  </si>
  <si>
    <r>
      <rPr>
        <b/>
        <sz val="12"/>
        <color indexed="8"/>
        <rFont val="Arial"/>
        <family val="2"/>
        <charset val="162"/>
      </rPr>
      <t>Başlamadı.</t>
    </r>
    <r>
      <rPr>
        <sz val="12"/>
        <color indexed="8"/>
        <rFont val="Arial"/>
        <family val="2"/>
        <charset val="162"/>
      </rPr>
      <t xml:space="preserve"> (Bakanlığımızca 500 yataklı avan projesi tamamlanmıştır. Uygulama proje çalışmaları tamamlanmış olup, 2018 deprem yönetmeliğine göre statik projeler revize edilmektedir.)</t>
    </r>
  </si>
  <si>
    <r>
      <rPr>
        <b/>
        <sz val="12"/>
        <color indexed="8"/>
        <rFont val="Arial"/>
        <family val="2"/>
        <charset val="162"/>
      </rPr>
      <t>Başlamadı.</t>
    </r>
    <r>
      <rPr>
        <sz val="12"/>
        <color indexed="8"/>
        <rFont val="Arial"/>
        <family val="2"/>
        <charset val="162"/>
      </rPr>
      <t xml:space="preserve"> (Uygulama projesi Bakanlığımızca onaylanmıştır.İhale için yaklaşık maliyet çalışmaları tamamlanmıştır. )</t>
    </r>
  </si>
  <si>
    <r>
      <rPr>
        <b/>
        <sz val="12"/>
        <color indexed="8"/>
        <rFont val="Arial"/>
        <family val="2"/>
        <charset val="162"/>
      </rPr>
      <t>Başlamadı.</t>
    </r>
    <r>
      <rPr>
        <sz val="12"/>
        <color indexed="8"/>
        <rFont val="Arial"/>
        <family val="2"/>
        <charset val="162"/>
      </rPr>
      <t xml:space="preserve"> (B</t>
    </r>
    <r>
      <rPr>
        <sz val="12"/>
        <rFont val="Arial"/>
        <family val="2"/>
        <charset val="162"/>
      </rPr>
      <t xml:space="preserve">akanlığımızca 300 yataklı yeni hastane binasının proje ihalesi yapılmıştır.Arsa ile ilgili çalışmalar devam etmektedir..İmar planları iptal olmuştur </t>
    </r>
    <r>
      <rPr>
        <sz val="12"/>
        <color indexed="8"/>
        <rFont val="Arial"/>
        <family val="2"/>
        <charset val="162"/>
      </rPr>
      <t xml:space="preserve">TEİAŞ’ ın arsa üzerindeki enerji dağıtım merkezinin deplase işlemleri devam etmektedir.) </t>
    </r>
  </si>
  <si>
    <r>
      <t>Başlamadı.</t>
    </r>
    <r>
      <rPr>
        <sz val="12"/>
        <color indexed="8"/>
        <rFont val="Arial"/>
        <family val="2"/>
        <charset val="162"/>
      </rPr>
      <t>(Proje ihalesi için hazırlıklar devam etmektedir..)</t>
    </r>
  </si>
  <si>
    <r>
      <t>Başlamadı.(</t>
    </r>
    <r>
      <rPr>
        <sz val="12"/>
        <rFont val="Arial"/>
        <family val="2"/>
        <charset val="162"/>
      </rPr>
      <t xml:space="preserve">Yaklaşık maliyet hazırlanmış olup onarım ihalesi pandemi nedeniyle ertelenmiştir.) </t>
    </r>
  </si>
  <si>
    <r>
      <t>Başlamadı.</t>
    </r>
    <r>
      <rPr>
        <sz val="12"/>
        <color indexed="8"/>
        <rFont val="Arial"/>
        <family val="2"/>
        <charset val="162"/>
      </rPr>
      <t>(Sancaktepe’ deki askeri alana yapılması planlanmaktadır.  İmar planında sağlık alanına alınma çalışmaları Bakanlığımız ve İlgili Belediye nezdinde yapılmaktadır.</t>
    </r>
    <r>
      <rPr>
        <sz val="12"/>
        <rFont val="Arial"/>
        <family val="2"/>
        <charset val="162"/>
      </rPr>
      <t xml:space="preserve">)      </t>
    </r>
  </si>
  <si>
    <t>Etüt proje olarak 2021 yılı yatırm programına alınmıştır.</t>
  </si>
  <si>
    <r>
      <rPr>
        <b/>
        <sz val="12"/>
        <color indexed="8"/>
        <rFont val="Arial"/>
        <family val="2"/>
        <charset val="162"/>
      </rPr>
      <t>Başlamadı. (</t>
    </r>
    <r>
      <rPr>
        <sz val="12"/>
        <color indexed="8"/>
        <rFont val="Arial"/>
        <family val="2"/>
        <charset val="162"/>
      </rPr>
      <t>Taşınmaza ASM(5-6 hekimlik)+İSM uygulama projesi tamamlanmış olup, yaklaşık maliyet çalışmaları devam etmektedir.)</t>
    </r>
  </si>
  <si>
    <r>
      <rPr>
        <b/>
        <sz val="12"/>
        <color indexed="8"/>
        <rFont val="Arial"/>
        <family val="2"/>
        <charset val="162"/>
      </rPr>
      <t>Başlamadı.</t>
    </r>
    <r>
      <rPr>
        <sz val="12"/>
        <color indexed="8"/>
        <rFont val="Arial"/>
        <family val="2"/>
        <charset val="162"/>
      </rPr>
      <t xml:space="preserve"> (Proje revizyonları yapılmaktadır.</t>
    </r>
  </si>
  <si>
    <r>
      <rPr>
        <b/>
        <sz val="12"/>
        <color indexed="8"/>
        <rFont val="Arial"/>
        <family val="2"/>
        <charset val="162"/>
      </rPr>
      <t>Başlamadı.</t>
    </r>
    <r>
      <rPr>
        <sz val="12"/>
        <color indexed="8"/>
        <rFont val="Arial"/>
        <family val="2"/>
        <charset val="162"/>
      </rPr>
      <t xml:space="preserve"> (Proje ihale çalışmaları devam etmektedir.)</t>
    </r>
  </si>
  <si>
    <r>
      <rPr>
        <b/>
        <sz val="12"/>
        <color indexed="8"/>
        <rFont val="Arial"/>
        <family val="2"/>
        <charset val="162"/>
      </rPr>
      <t>Başlamadı. (</t>
    </r>
    <r>
      <rPr>
        <sz val="12"/>
        <color indexed="8"/>
        <rFont val="Arial"/>
        <family val="2"/>
        <charset val="162"/>
      </rPr>
      <t>Projeleri Anıtlar ve Belediyeden onaylanmıştır. İhale edilmek üzere satınalma birimine gönderilmiştir.)</t>
    </r>
  </si>
  <si>
    <r>
      <rPr>
        <b/>
        <sz val="12"/>
        <color indexed="8"/>
        <rFont val="Arial"/>
        <family val="2"/>
        <charset val="162"/>
      </rPr>
      <t>Başlamadı.</t>
    </r>
    <r>
      <rPr>
        <sz val="12"/>
        <color indexed="8"/>
        <rFont val="Arial"/>
        <family val="2"/>
        <charset val="162"/>
      </rPr>
      <t xml:space="preserve"> (Projeleri hazırlanmış olup yapı ruhsatı alınmıştır.)</t>
    </r>
  </si>
  <si>
    <r>
      <rPr>
        <b/>
        <sz val="12"/>
        <color indexed="8"/>
        <rFont val="Arial"/>
        <family val="2"/>
        <charset val="162"/>
      </rPr>
      <t>Başlamadı.</t>
    </r>
    <r>
      <rPr>
        <sz val="12"/>
        <color indexed="8"/>
        <rFont val="Arial"/>
        <family val="2"/>
        <charset val="162"/>
      </rPr>
      <t xml:space="preserve"> (Proje ön hazırlık çalışmaları devam etmektedir.)</t>
    </r>
  </si>
  <si>
    <r>
      <rPr>
        <b/>
        <sz val="12"/>
        <color indexed="8"/>
        <rFont val="Arial"/>
        <family val="2"/>
        <charset val="162"/>
      </rPr>
      <t>Başlamadı.</t>
    </r>
    <r>
      <rPr>
        <sz val="12"/>
        <color indexed="8"/>
        <rFont val="Arial"/>
        <family val="2"/>
        <charset val="162"/>
      </rPr>
      <t xml:space="preserve"> (Arsa çalışmaları devam etmektedir.)</t>
    </r>
  </si>
  <si>
    <r>
      <rPr>
        <b/>
        <sz val="12"/>
        <color indexed="8"/>
        <rFont val="Arial"/>
        <family val="2"/>
        <charset val="162"/>
      </rPr>
      <t>Başlamadı. (</t>
    </r>
    <r>
      <rPr>
        <sz val="12"/>
        <color indexed="8"/>
        <rFont val="Arial"/>
        <family val="2"/>
        <charset val="162"/>
      </rPr>
      <t>Arsa ile ilgili imar süreci devam etmektedir.)</t>
    </r>
  </si>
  <si>
    <r>
      <rPr>
        <b/>
        <sz val="12"/>
        <color indexed="8"/>
        <rFont val="Arial"/>
        <family val="2"/>
        <charset val="162"/>
      </rPr>
      <t>Başlamadı. (</t>
    </r>
    <r>
      <rPr>
        <sz val="12"/>
        <color indexed="8"/>
        <rFont val="Arial"/>
        <family val="2"/>
        <charset val="162"/>
      </rPr>
      <t>Proje ön hazırlık çalışmaları devam etmektedir.)</t>
    </r>
  </si>
  <si>
    <r>
      <rPr>
        <b/>
        <sz val="12"/>
        <color indexed="8"/>
        <rFont val="Arial"/>
        <family val="2"/>
        <charset val="162"/>
      </rPr>
      <t>Başlamadı. (P</t>
    </r>
    <r>
      <rPr>
        <sz val="12"/>
        <color indexed="8"/>
        <rFont val="Arial"/>
        <family val="2"/>
        <charset val="162"/>
      </rPr>
      <t>roje çalışmaları devam etmektedir.)</t>
    </r>
  </si>
  <si>
    <r>
      <rPr>
        <b/>
        <sz val="12"/>
        <color indexed="8"/>
        <rFont val="Arial"/>
        <family val="2"/>
        <charset val="162"/>
      </rPr>
      <t>Başlamadı. (</t>
    </r>
    <r>
      <rPr>
        <sz val="12"/>
        <color indexed="8"/>
        <rFont val="Arial"/>
        <family val="2"/>
        <charset val="162"/>
      </rPr>
      <t>Erenköy Ruh ve Sinir Hastalıkları Hastanesinin arsası uygunluğu değerlendirme işlemleri devam etmektedir.)</t>
    </r>
  </si>
  <si>
    <r>
      <rPr>
        <b/>
        <sz val="12"/>
        <color indexed="8"/>
        <rFont val="Arial"/>
        <family val="2"/>
        <charset val="162"/>
      </rPr>
      <t>Başlamadı. (</t>
    </r>
    <r>
      <rPr>
        <sz val="12"/>
        <color indexed="8"/>
        <rFont val="Arial"/>
        <family val="2"/>
        <charset val="162"/>
      </rPr>
      <t>Arsa ile ilgili çalışmalar devam etmektedir.)</t>
    </r>
  </si>
  <si>
    <r>
      <rPr>
        <b/>
        <sz val="12"/>
        <color indexed="8"/>
        <rFont val="Arial"/>
        <family val="2"/>
        <charset val="162"/>
      </rPr>
      <t>Başlamadı. (</t>
    </r>
    <r>
      <rPr>
        <sz val="12"/>
        <color indexed="8"/>
        <rFont val="Arial"/>
        <family val="2"/>
        <charset val="162"/>
      </rPr>
      <t>Proje revizeleri yapılmaktadır. )</t>
    </r>
  </si>
  <si>
    <t>Anadolu (217) Anadolu YDKŞ Bölgesi Çelik, Polietilen ve Servis Hattı İnşaatı  ( Ycs Müh. ve San. Tic. Ltd. Şti. )</t>
  </si>
  <si>
    <t>İstanbul (Muhtelif İlçeler)</t>
  </si>
  <si>
    <t>Yeni Yapım</t>
  </si>
  <si>
    <t>D(33) Avrupa Doğalgaz Dağıtım Hatlarının Yapımının Kontrol ve Denetleme Hizmeti Alımı       (Tümaş Türk Mühendislik Müşavirlik ve Müteahhitlik Anonim Şirketi )</t>
  </si>
  <si>
    <t xml:space="preserve">Etüd Proje </t>
  </si>
  <si>
    <t>D(34) Anadolu Doğalgaz Dağıtım Hatlarının Yapımının Kontrol ve Denetleme Hizmeti Alımı ( Alka Enerji İnş. Personel Belgelendirme Kalibrasyon Eğitim San. ve Tic. Ltd. Şti. )</t>
  </si>
  <si>
    <t>Avrupa (245) İstanbul YDKŞ Bölgesi Çelik, Polietilen ve Servis Hattı İnşaatı ( Şilan Hafriyat ve İnşaat San. Tic. Ltd. Şti. )</t>
  </si>
  <si>
    <t>Avrupa (246) Boğaziçi YDKŞ Bölgesi Çelik, Polietilen ve Servis Hattı İnşaatı ( Şilan Hafriyat ve İnşaat San. Tic. Ltd. Şti. )</t>
  </si>
  <si>
    <t>Anadolu (218) Anadolu YDKŞ Bölgesi Çelik, Polietilen ve Servis Hattı İnşaatı ( Azim İnşaat Tesisat ve Taşımacılık Sanayi Ticaret Limited Şirketi )</t>
  </si>
  <si>
    <t>Devam ediyor.</t>
  </si>
  <si>
    <t>Üsküdar-Altunizade-Ümraniye-Dudullu Metro Hattı [77]</t>
  </si>
  <si>
    <t>Ataköy-İkitelli Metro Hattı[78]</t>
  </si>
  <si>
    <t>Ümraniye-Ataşehir-Göztepe Metro Hattı[78]</t>
  </si>
  <si>
    <t>Kaynarca-Pendik-Tuzla Metro Hattı[78]</t>
  </si>
  <si>
    <t>Çekmeköy-Sultanbeyli Metro Hattı[78]</t>
  </si>
  <si>
    <t>Kirazlı-Halkalı Metro Hattı[85]</t>
  </si>
  <si>
    <t>İstanbul Metroları Araç Alımı [78]</t>
  </si>
  <si>
    <t>Başakşehir-Kayaşehir Metro Hattı Araç Alımı [78]</t>
  </si>
  <si>
    <t>Mahmutbey-Bahçeşehir Metro Hattı[78]</t>
  </si>
  <si>
    <t>Tramvay Aracı Alımı[78][35]</t>
  </si>
  <si>
    <t>Vezneciler - Arnavutköy Metro Hattı [78][87]</t>
  </si>
  <si>
    <t>Eminönü-Alibeyköy Tramway Hattı [83]</t>
  </si>
  <si>
    <t>Dudullu-Bostancı Metro Hattı[84]</t>
  </si>
  <si>
    <t>Atık Yakma ve Enerji Üretim Tesisi [204]</t>
  </si>
  <si>
    <t>Sızıntı Suyu Arıtma Tesisi [204]</t>
  </si>
  <si>
    <t>Endüstriyel Atık Termal Bertaraf Tesisi [204]</t>
  </si>
  <si>
    <t>Üsküdar-Ümraniye-Çekmeköy</t>
  </si>
  <si>
    <t>Hacıosman-Yenikapı</t>
  </si>
  <si>
    <t>Beşiktaş-Beyoğlu-Şişli-Bağcılar-Eyüp</t>
  </si>
  <si>
    <t>Bakırköy-Bahçelievler</t>
  </si>
  <si>
    <t>Ümraniye-Ataşehir-Kadıköy</t>
  </si>
  <si>
    <t>Pendik-Tuzla</t>
  </si>
  <si>
    <t>Çekmeköy-Sancaktepe-Sultanbeyli</t>
  </si>
  <si>
    <t>Bahçelievler-Bağcılar-Küçükçekmece</t>
  </si>
  <si>
    <t>Ümraniye-Ataşehir-Kadıköy-Maltepe-Küçükçekmece-Bakırköy-Bahçelievler-Zeytinburnu-Fatih</t>
  </si>
  <si>
    <t>Başakşehir</t>
  </si>
  <si>
    <t>Bağcılar-Başakşehir-Küçükçekmece</t>
  </si>
  <si>
    <t>Fatih-Sultangazi</t>
  </si>
  <si>
    <t>Fatih-Eyüpsultan</t>
  </si>
  <si>
    <t>Kadıköy – Ataşehir – Ümraniye</t>
  </si>
  <si>
    <t>Eyüp</t>
  </si>
  <si>
    <t>Metro Aracı + Raylı Sistem İnşaat + Elektromekanik</t>
  </si>
  <si>
    <t>Metro Aracı</t>
  </si>
  <si>
    <t>Metro Aracı + Raylı Sistem İnşaat + Elektromekanik + Raylı Sistem Sinyalizasyon</t>
  </si>
  <si>
    <t>Tramvar Aracı</t>
  </si>
  <si>
    <t>Raylı Sistem İnşaat + Elektromekanik + Tramvay Aracı</t>
  </si>
  <si>
    <t>Raylı Sistem İnşaat + Elektromekanik</t>
  </si>
  <si>
    <t>Atık Yakma Tesisi</t>
  </si>
  <si>
    <t>Sızıntı Suyu Arıtma Tesisi</t>
  </si>
  <si>
    <t>2007</t>
  </si>
  <si>
    <t>2023</t>
  </si>
  <si>
    <t>2008</t>
  </si>
  <si>
    <t>2021</t>
  </si>
  <si>
    <t>2024</t>
  </si>
  <si>
    <t>2015</t>
  </si>
  <si>
    <t>2025</t>
  </si>
  <si>
    <t>2016</t>
  </si>
  <si>
    <t>2018</t>
  </si>
  <si>
    <t>2022</t>
  </si>
  <si>
    <t>2019</t>
  </si>
  <si>
    <t>İşletmeye açılmıştır. 126 Adet Araç Alımı İşine ait iş artışı kapsamında 24 adet aracın üretimi başlamıştır.</t>
  </si>
  <si>
    <t>Alım tamamlanmış olup, ödemeler devam etmektedir.</t>
  </si>
  <si>
    <t>DEVAM EDİYOR</t>
  </si>
  <si>
    <t>Tünel ve istasyon kazı imalatları devam etmektedir.</t>
  </si>
  <si>
    <t>Tünel ve istasyon kazı imalatlarına başlanmıştır.</t>
  </si>
  <si>
    <t>30 Adet 4'lü dizi set (120 araç) teslim alınmıştır. 19 Dizi Set Mecidiyeköy-Mahmutbey Metro Hattında kullanılmaya başlanmış olup diğer dizi setlerin test ve devreye alma ile tip testleri devam etmektedir.</t>
  </si>
  <si>
    <t>İHALE AŞAMASINDA</t>
  </si>
  <si>
    <t>Tünel kazı imalatları bitme aşamasında olup, istasyon ve elektromekanik imalatlar devam etmektedir.</t>
  </si>
  <si>
    <t>Şile</t>
  </si>
  <si>
    <t>PRJ.+ŞEBEKE+İSALE+DEPO+ P.İST.+ARITMA+BARAJ+ KAMU. VE GEREKLİ TESİSLER</t>
  </si>
  <si>
    <t>İÇME SUYU PROJELERİ</t>
  </si>
  <si>
    <t>KANALİZASYON PROJELERİ</t>
  </si>
  <si>
    <t>GAYRİMENKUL BÜYÜK ONARIM GİDERLERİ</t>
  </si>
  <si>
    <t>HİZMET BİNALARI</t>
  </si>
  <si>
    <t>L PRJ.+ŞEBEKE+KOLL.+TÜNEL P.İST.+ARITMA+DEŞARJ+ KAMU VE GEREKLİ TESİSLER</t>
  </si>
  <si>
    <t>ŞEBEKE+KOLL.+TÜNEL P.İST.+ARITMA+DEŞARJ+ KAMU VE GEREKLİ TESİSLER</t>
  </si>
  <si>
    <t>ANADOLU OTOYOLU KAVŞAĞI – GEBZE KAVŞAĞI (KM:0+000-45+300) ARASI OTOYOL VE BAĞLANTI YOLLARINDA ÜSTYAPI İYİLEŞTİRİLMESİ VE BÜYÜK ONARIM İNŞAATI İŞİ</t>
  </si>
  <si>
    <t>Bakım Onarım</t>
  </si>
  <si>
    <t>KAVACIK KAVŞAĞI - ATATÜRK HAVAALANI ÇOBANÇEŞME KAVŞAĞI - BASIN EKSPRES YOLU - MAHMUTBEY BATI KAVŞAĞI - KINALI KAVŞAĞI ARASI OTOYOL, KAVŞAK KOLLARI VE BAĞLANTI YOLLARINDA ÜSTYAPI İYİLEŞTİRİLMESİ, DERZLERİN YENİLENMESİ VE BÜYÜK ONARIM İNŞAATI İŞİ (BİTÜM İDAREDEN)</t>
  </si>
  <si>
    <t xml:space="preserve">0-3 OTOYOLU ESENYURT KAVŞAĞI-HADIMKÖY KAVŞAĞI ARASI STABİLİTE SORUNLARININ ÇÖZÜLMESİ VE ÜSTYAPI YENİLENMESİ İŞİ </t>
  </si>
  <si>
    <t>İSTANBUL - ŞİLE - AĞVA</t>
  </si>
  <si>
    <t>BY BSK (64,50 km)</t>
  </si>
  <si>
    <t>Çerkezköy-Subaşı, İstanbul-Şile-Ağva ….. Danışmanlık(UBM)</t>
  </si>
  <si>
    <t>SUBAŞI-ÇATALCA HEYELAN</t>
  </si>
  <si>
    <t>Bölünmüş Yol (26 km)</t>
  </si>
  <si>
    <t>BAŞAKŞEHİR ŞEHİR HASTANESİ BAĞLANTI YOLU</t>
  </si>
  <si>
    <t>Karayolu Altyapısı</t>
  </si>
  <si>
    <t>TEM(03) AYR. ÇERKEZKÖY DEVLET YOLU ÜSTYAPI YENİLEMESİ İŞİ</t>
  </si>
  <si>
    <t>KINALI AYR. ÇORLU DEVLET YOLU</t>
  </si>
  <si>
    <t>Bölünmüş Yol (16 km)</t>
  </si>
  <si>
    <t>İstanbul İlinde Bulunan Tarihi Ferhatpaşa, Papaz, Hasanderesi ve Silivri Giriş (Kısaköprü) Köprülerinin Restorasyon Uygulaması İşi</t>
  </si>
  <si>
    <t>Köprü Onarımı (0,08 km)</t>
  </si>
  <si>
    <t>Kuzey Marmara Otoyolu Kınalı-Odayeri Kesimi Yap-İşlet-Devret Modeliyle Yapılması, İşletilmesi ve Devri Projesinin Yapım Döneminin Müşavirlik Hizmeti İşi</t>
  </si>
  <si>
    <t>Müşavirlik/       Kontrollük</t>
  </si>
  <si>
    <t>ÇEŞİTLİ ÜNİTELERİN ETÜD PROJESİ</t>
  </si>
  <si>
    <t>KAMPÜS ALTYAPISI</t>
  </si>
  <si>
    <t>Doğalgaz Dönüşümü, Elektrik hattı, Kampüs İçi Yol, Kanalizasyon hattı, Peyzaj, Su isale hattı, Telefon hattı</t>
  </si>
  <si>
    <t>BÜYÜK ONARIM</t>
  </si>
  <si>
    <t>DERSLİKLER VE MERKEZİ BİRİMLER</t>
  </si>
  <si>
    <t>Eğitim (19.640 m²)</t>
  </si>
  <si>
    <t>KİLYOS KAMPÜSÜ</t>
  </si>
  <si>
    <t>Barınma (8.000 m²), Eğitim (8.500 m²)</t>
  </si>
  <si>
    <t>Bakım Onarım, BİT, Kesin Hesap, Makine-Teçhizat</t>
  </si>
  <si>
    <t xml:space="preserve">YAYIN ALIMI </t>
  </si>
  <si>
    <t>ARKEOLOJİ MİMARLIK TARİHİ VE KÜLTÜREL MİRAS PROJELERİ.</t>
  </si>
  <si>
    <t>NAFİ BABA TEKKESİ RESTİTÜSYONU VE ŞEHİTLİK RESTORASYONU</t>
  </si>
  <si>
    <t xml:space="preserve">AÇIK VE KAPALI SPOR TESİSLERİ  </t>
  </si>
  <si>
    <t>Bakım Onarım, Makine-Teçhizat</t>
  </si>
  <si>
    <t>TAM:TELEİLETİŞİM VE ENFORMATİK ALAN.ARAŞTIRMACI VE AKADEMİS.YETİŞ.MER.</t>
  </si>
  <si>
    <t>Makine techizat - Teknolojik Araştırma -İnşaat</t>
  </si>
  <si>
    <t>YAŞAMBİLİM ARAŞTIRMA MERKEZİ</t>
  </si>
  <si>
    <t>SOSYAL ALANLARDA ARŞ.İNŞ.GÜÇ.GELİŞT.</t>
  </si>
  <si>
    <t>YAŞAMBİLİMLERİ İNSAN GÜCÜ YETİŞTİRME</t>
  </si>
  <si>
    <t>GEOTEKNİK DEPREM MÜHENDİSİLİĞİ AR.MRK.</t>
  </si>
  <si>
    <t xml:space="preserve">KÖMÜRDEN SENTETİK DOĞALGAZ ÜRETİM TEKNOLOJİSİ GELİŞTİRİLMESİ </t>
  </si>
  <si>
    <t>REKTÖRLÜK BİLİMSEL ARAŞTIRMA PROJELERİ</t>
  </si>
  <si>
    <t>ROBOTİK VE YAPAY AKIL LABORATUVARLARI (ROYAL)</t>
  </si>
  <si>
    <t>TÜRKİYE DEPREM İSTASYONLARI ŞEBEKE.</t>
  </si>
  <si>
    <t>Donanım Onarımı (5 adet), Makine-Teçhizat, Sismik Ölçüm İstasyonu (3 adet)</t>
  </si>
  <si>
    <t>BÖLGESEL TSUNAMİ İZLEME VE DEĞERLENDİRME MERKEZİ</t>
  </si>
  <si>
    <t>Laboratuvar Cihazları</t>
  </si>
  <si>
    <t xml:space="preserve">MARMARA BÖL.YER KABUĞU DEFORMASYONU GERÇEK-ZAMANLI İZLENMESİ İÇİN JEODEZİK ALTYAPININ KURULMASI </t>
  </si>
  <si>
    <t>Sunucu, Uygulama Projesi</t>
  </si>
  <si>
    <t>MARMARA DENİZ TABANI GÖZLEM AĞI</t>
  </si>
  <si>
    <t>Laboratuvar Cihazları, Veri Sayısallaştırma</t>
  </si>
  <si>
    <t>2020-2021 Dönemi Kadıköy İlçesi Asfalt Kaplama Yenileme ve Onarım İşi</t>
  </si>
  <si>
    <t>2020 Kadıköy İlçesi Yol, Kaldırım, Yağmur Suyu Kanalı Tamir Bakım Onarım Ve Yenileme İşi</t>
  </si>
  <si>
    <t>Kaldırım</t>
  </si>
  <si>
    <t>ÇATALCA BELEDİYE BAŞKANLIĞI</t>
  </si>
  <si>
    <t>2019 YILI BETON MALZEMESİ ALIMI İŞİ</t>
  </si>
  <si>
    <t>YOL YAPILMASI İŞİ</t>
  </si>
  <si>
    <t>YARI OLİMPİK KAPALI YÜZME HAVUZU YAPIMI İŞİ</t>
  </si>
  <si>
    <t>İSTANBUL İLİ ÇATALCA İLÇESİ KALEİÇİ MAHALLESİ 32 ADA 8 PARSEL VE KARACAKÖY MAHALLESİ 1636 PARSELDE BULUNAN TESCİLLİ YAPINN RESTORASYONUN YAPILMASI İŞİ</t>
  </si>
  <si>
    <t>ALTYAPI VE ÜSTYAPI BAKIM ONARIM VE YAPIMI</t>
  </si>
  <si>
    <t>ÇEŞİTLİ BİNA İŞLERİ YAPILMASI İŞİ</t>
  </si>
  <si>
    <t>ASFALT YOL TAMİRATLARI YAPILMASI İŞİ</t>
  </si>
  <si>
    <t>YOL VE KALDIRIM DÜZENLENMESİ İŞLERİ</t>
  </si>
  <si>
    <t>İLÇEMİZ KALEİÇİ MAHALLESİ 21 ADA 2 PARSEL VE 25 ADA 13 PARSELDE BULUNAN KALEİÇİ SURLARININ RESTORASYONUNUN YAPILMASI İŞİ</t>
  </si>
  <si>
    <t>1 ADET ÇOK AMAÇLI 750 SEYİRCİ KAPASİTELİ KAPALI SPOR SALONU YAPIM İŞİ</t>
  </si>
  <si>
    <t>KAPALI PAZAR YERİ TEMEL İŞLERİ</t>
  </si>
  <si>
    <t>BAKIM ONARIM</t>
  </si>
  <si>
    <t>UYGULAMA PROJESİ</t>
  </si>
  <si>
    <t>31.06.2021</t>
  </si>
  <si>
    <t>ZEYTİNBURNU GENELİ BİRİNCİ BÖLGE YOL BORDÜR VE TRETUAR TAMİRİ (24 AY SÜRELİ) YAPIM İŞİ</t>
  </si>
  <si>
    <t>ZEYTİNBURNU GENELİ İKİNCİ BÖLGE YOL BORDÜR VE TRETUAR TAMİRİ (24 AY SÜRELİ) YAPIM İŞİ</t>
  </si>
  <si>
    <t>PARK REVİZYONU VE PEYZAJ DÜZENLEME YAPIM İŞİ</t>
  </si>
  <si>
    <t>ZEYTİNBURNU İLÇESİ HAZİRE ALANLARININ RESTORASYON UYGULAMA YAPIM</t>
  </si>
  <si>
    <t>ZEYTİNBURNU İLÇE EMNİYET BİNASI YAPIM İŞİ</t>
  </si>
  <si>
    <t>ZEYTİNBURNU MİLLET CAMİ YAPIM İŞİ</t>
  </si>
  <si>
    <t>BİRİNCİ SINIF ATIK GETİRME MERKEZİ YAPIMI</t>
  </si>
  <si>
    <t>RESTORASYON</t>
  </si>
  <si>
    <t>KAMU BİNASI YAPIMI</t>
  </si>
  <si>
    <t>CAMİ YAPIMI</t>
  </si>
  <si>
    <t>BİNA YAPIMI</t>
  </si>
  <si>
    <t xml:space="preserve">Atatürk Mahallesi İlkokulu (İkmal) (1011 ada,1 parsel) </t>
  </si>
  <si>
    <t>ESENYURT</t>
  </si>
  <si>
    <t xml:space="preserve">İO -  40 Derslik </t>
  </si>
  <si>
    <t>Çeltik Köyü İlkokulu</t>
  </si>
  <si>
    <t>SİLİVRİ</t>
  </si>
  <si>
    <t xml:space="preserve">İO - 8 Derslik </t>
  </si>
  <si>
    <t xml:space="preserve">Çağlayan Maahallesi İlkokulu                         (5854 ada, 5 parsel) </t>
  </si>
  <si>
    <t>KAĞITHANE</t>
  </si>
  <si>
    <t xml:space="preserve">İO - 24 Derslik </t>
  </si>
  <si>
    <t>Dosteller İşitme Engelliler OO -                           (Yık-Yap)</t>
  </si>
  <si>
    <t xml:space="preserve">OO - 12 Derslik </t>
  </si>
  <si>
    <t>Yenisahra Öğretmen Duriye Nuriye Endürüst Ortaokulu (Yık-Yap)</t>
  </si>
  <si>
    <t>ATAŞEHİR</t>
  </si>
  <si>
    <t xml:space="preserve">OO - 29 Derslik </t>
  </si>
  <si>
    <t xml:space="preserve">Atatürk Mahallesi Ortaokulu                                (787 ada, 62 parsel) </t>
  </si>
  <si>
    <t xml:space="preserve">OO - 32 Derslik </t>
  </si>
  <si>
    <t>Fatih Mahallesi Ortaokulu                                                                         (8 ada, 5 parsel)</t>
  </si>
  <si>
    <t>SANCAKTEPE</t>
  </si>
  <si>
    <t xml:space="preserve">Şehit Şerife Bacı MTAL Bahçesine OrtAOkul </t>
  </si>
  <si>
    <t>AVCILAR</t>
  </si>
  <si>
    <t>Abdurrahman Nermin Bilimli İlkokulu Ek Bina</t>
  </si>
  <si>
    <t>BAĞCILAR</t>
  </si>
  <si>
    <t xml:space="preserve">İO - 16 Derslik </t>
  </si>
  <si>
    <t>Muratpaşa Mahallesi İlkokulu</t>
  </si>
  <si>
    <t>BAYRAMPAŞA</t>
  </si>
  <si>
    <t xml:space="preserve">Atatürk Mahallesi İlkokul                                         (787 ada, 63 parsel) </t>
  </si>
  <si>
    <t xml:space="preserve">İO - 32 Derslik </t>
  </si>
  <si>
    <t>Kanlıca Mahallesi İlkokulu                           (149 ada, 22 parsel)</t>
  </si>
  <si>
    <t>BEYKOZ</t>
  </si>
  <si>
    <t>Çağdaş Yaşam Prof.Ahmet Merdivenci İlkokulu (Yık-Yap)</t>
  </si>
  <si>
    <t>BEYLİKDÜZÜ</t>
  </si>
  <si>
    <t>Nejat Sabuncu İlkokulu Bahçesine                     Ek Bina</t>
  </si>
  <si>
    <t>EYÜPSULTAN</t>
  </si>
  <si>
    <t>Kayabaşı Mahallesi Ortaokulu                        (1013 ada, 12 parsel)</t>
  </si>
  <si>
    <t>BAŞAKŞEHİR</t>
  </si>
  <si>
    <t>Sarıgöl Mahallesi OrtAOkul                                     (1452 ada, 35 parsel)</t>
  </si>
  <si>
    <t>GAZİOSMANPAŞA</t>
  </si>
  <si>
    <t xml:space="preserve">OO - 24 Derslik </t>
  </si>
  <si>
    <t>Sarıgöl Mahallesi İlkokulu                                    (1452 ada, 35 parsel)</t>
  </si>
  <si>
    <t>Merkez Mahallesi  İlkokulu                                     (1357 ada,  5 parsel)</t>
  </si>
  <si>
    <t>GÜNGÖREN</t>
  </si>
  <si>
    <t>Bilge Soyak İlkokulu Bahçesine                                   Ek Bina</t>
  </si>
  <si>
    <t>Mehterçeşme Mahallesi İlkokulu</t>
  </si>
  <si>
    <t>Kirazlı Mahallesi Ortaokulu                                          (3347 ada, 11  parsel)</t>
  </si>
  <si>
    <t>Merkez Mah. İlkokulu (22628 Parsel)</t>
  </si>
  <si>
    <t>Altıntepsi Mahallesi Ortaokulu</t>
  </si>
  <si>
    <t>Halis Kutmangil ÇPL Bahçesine OrtAOkul</t>
  </si>
  <si>
    <t>Feridun Tümer OrtAOkul Bahçesine                                                             Ek Bina</t>
  </si>
  <si>
    <t>75. Yıl Mahallesi İlkokulu                                                             (662 ada, 5 parsel)</t>
  </si>
  <si>
    <t>SULTANGAZİ</t>
  </si>
  <si>
    <t xml:space="preserve">Seyitömer Mahallesi Ortaokulu                      (1733 ada, 81 parsel) </t>
  </si>
  <si>
    <t>FATİH</t>
  </si>
  <si>
    <t>50. Yıl Mahallesi İlkokulu                                  (2777 ada, 1 parsel)</t>
  </si>
  <si>
    <t>Yayla Mahallesi İlkokulu                                             (588 parsel)</t>
  </si>
  <si>
    <t>Kayabaşı Mahallesi Ortaokulu                                 (1010 ada 2 parsel)</t>
  </si>
  <si>
    <t>Mimarsinan  İlkokulu Bahçesine Anaokulu</t>
  </si>
  <si>
    <t xml:space="preserve">AO - 8 Derslik </t>
  </si>
  <si>
    <t>Atakent Mahallesi Anaokulu                                (543 ada, 3 parsel)</t>
  </si>
  <si>
    <t xml:space="preserve">AO - 4 Derslik </t>
  </si>
  <si>
    <t>Tepecik Mahallesi Anaokulu                                        (188 Ada 1 Parsel)</t>
  </si>
  <si>
    <t>BÜYÜKÇEKMECE</t>
  </si>
  <si>
    <t xml:space="preserve">AO - 2 Derslik </t>
  </si>
  <si>
    <t>Gürpınar Mahallesi Anaokulu                                 (1589 ada, 3 parsel)</t>
  </si>
  <si>
    <t xml:space="preserve">Oruç Reis AİHL Bahçesine Anaokulu </t>
  </si>
  <si>
    <t>ESENLER</t>
  </si>
  <si>
    <t>Turgut Reis MTAL Bahçesine Anaokulu</t>
  </si>
  <si>
    <t>Esenler Türk İsveç Ortaokulu Bahçesine Anaokulu</t>
  </si>
  <si>
    <t>Akşemsettin Mahallesi Anaokulu                             ( 333 Ada, 7 Parsel)</t>
  </si>
  <si>
    <t>İsmail Erez İlkokul Bahçesine Anaokulu</t>
  </si>
  <si>
    <t>Kadriye Moroğlu A.L. Bahçesine Anaokulu</t>
  </si>
  <si>
    <t>Kadıköy Sulhiye Ersoy Anaokulu</t>
  </si>
  <si>
    <t>Mimar Sinan İlkokulu Bahçesine Anaokulu (1552 parsel)</t>
  </si>
  <si>
    <t>Fatih Mahallesi Anaokulu                                    (6223 Ada 13 Parsel)</t>
  </si>
  <si>
    <t xml:space="preserve">AO - 6 Derslik </t>
  </si>
  <si>
    <t>Sultanbeyli Merkez Mahallesi Anaokulu (5361 Ada 1 Parsel)</t>
  </si>
  <si>
    <t>Sultan Alparslan İlkokulu Bahçesine Anaokulu</t>
  </si>
  <si>
    <t>Merkez Mahallesi Anaokulu                               (162 Ada 3 Parsel)</t>
  </si>
  <si>
    <t>ÇEKMEKÖY</t>
  </si>
  <si>
    <t>Ahmet Yesevi İlkokulu Bahçesine Anaokulu</t>
  </si>
  <si>
    <t>Yayalar Mahallesi Anaokulu                             (10339 ada, 1 parsel)</t>
  </si>
  <si>
    <t>Hadımköy Mahallesi                                        (1728 parsel) Anaokulu</t>
  </si>
  <si>
    <t xml:space="preserve">100 .Yıl Mahallesi Anaokulu                                   (2009 ada, 50 parsel) </t>
  </si>
  <si>
    <t>Bulgurlu Mahallesi Anaokulu</t>
  </si>
  <si>
    <t>Göktürk Mahallesi İlkokul                                      (230 ada, 1 parsel)</t>
  </si>
  <si>
    <t xml:space="preserve">Küçükbakkalköy (Çamlık) Mahallesi Ortaokulu (3327 ada, 3 parsel) </t>
  </si>
  <si>
    <t xml:space="preserve">Küçükbakkalköy (Çamlık) Mahallesi Ortaokulu Ek Bina (3327 ada, 3 parsel) </t>
  </si>
  <si>
    <t>Atakent Mahallesi (512 ada, 7 parsel) OrtAOkul (Yık-Yap)</t>
  </si>
  <si>
    <t>15 Temmuz Mahallesi (3188 ada 15 parsel) İlkokulu</t>
  </si>
  <si>
    <t>15 Temmuz Mahallesi (3188 ada 15 parsel) Ortaokulu</t>
  </si>
  <si>
    <t>Fındıklı Mahallesi İlkokulu                            (Yık-Yap) (TOKİ)</t>
  </si>
  <si>
    <t>MALTEPE</t>
  </si>
  <si>
    <t>Fındıklı Mahallesi Ortaokulu                           (Yık-Yap) (TOKİ)</t>
  </si>
  <si>
    <t>Gültepe İlkokulu (Yık-Yap) (TOKİ)</t>
  </si>
  <si>
    <t>Ortaköy Sezin Öztaş İlkokulu                            (Yık-Yap) (TOKİ)</t>
  </si>
  <si>
    <t>Haznedar Abdi İpekçi İlkokulu (Yık-Yap) (TOKİ)</t>
  </si>
  <si>
    <t>Mehmetçik İmam Hatip Ortaokulu (Yık-Yap) (TOKİ)</t>
  </si>
  <si>
    <t>Hoşdere Mahallesi  İlkokulu                            (568 ada, 1 parsel)</t>
  </si>
  <si>
    <t xml:space="preserve">Alibey Mahlesi Anaokulu                                (1653 ada, 1 parsel) </t>
  </si>
  <si>
    <t>Safra (İnönü) Mahallesi Anaokulu</t>
  </si>
  <si>
    <t>Halkalı Mahallesi Anaokulu</t>
  </si>
  <si>
    <t>Merkez  Mahallesi Anaokulu</t>
  </si>
  <si>
    <t>İkitelli Mahallesi Anaokulu</t>
  </si>
  <si>
    <t>Hoşdere Mahallesi Anaokulu</t>
  </si>
  <si>
    <t>Anadolu İmam Hatip Lisesi</t>
  </si>
  <si>
    <t>İHL - 32 Derslik</t>
  </si>
  <si>
    <t>Gültepe Mesleki ve Teknik Anadolu Lisesi</t>
  </si>
  <si>
    <t>MTAL - 1 Atölye</t>
  </si>
  <si>
    <t>Anadolu Lisesi (Cihangir Mah.)</t>
  </si>
  <si>
    <t xml:space="preserve">OÖ - 40 Derslik  </t>
  </si>
  <si>
    <t xml:space="preserve">MTAL - 1 Atölye </t>
  </si>
  <si>
    <t>Mesleki ve Teknik Anadolu Lisesi</t>
  </si>
  <si>
    <t>İmam Hatip Lisesi</t>
  </si>
  <si>
    <t>İHL - 24 Derslik</t>
  </si>
  <si>
    <t>Akşemsettin Anadolu Lisesi Ek Bina</t>
  </si>
  <si>
    <t>OÖ - 24 Derslik</t>
  </si>
  <si>
    <t>Mehmet Akif Anadolu Lisesi</t>
  </si>
  <si>
    <t>BAHÇELİEVLER</t>
  </si>
  <si>
    <t xml:space="preserve">OÖ - 24 Derslik </t>
  </si>
  <si>
    <t>Kayabaşı Mahallesi Özel Eğitim Okulu</t>
  </si>
  <si>
    <t xml:space="preserve">ÖÖR - 16 Derslik </t>
  </si>
  <si>
    <t xml:space="preserve">Anadolu Lisesi </t>
  </si>
  <si>
    <t>OÖ - 32 Derslik</t>
  </si>
  <si>
    <t>Sosyal Bilimler Lisesi</t>
  </si>
  <si>
    <t>İHL - 40 Derslik</t>
  </si>
  <si>
    <t>Mesleki ve Teknik Lise</t>
  </si>
  <si>
    <t>MTAL - 24 Derslik+Anaokulu</t>
  </si>
  <si>
    <t>Anadolu İletişim Meslek Lisesi</t>
  </si>
  <si>
    <t>MTAL - 24 Derslik</t>
  </si>
  <si>
    <t xml:space="preserve">Teknik ve Endüstri Meslek Lisesi </t>
  </si>
  <si>
    <t xml:space="preserve">BEYLİKDÜZÜ </t>
  </si>
  <si>
    <t>MTAL - 24 Derslik+3 Atl+Sp.Sl.</t>
  </si>
  <si>
    <t>Doç. Dr. Burhan Bahriyeli Mesleki ve Teknik Lise</t>
  </si>
  <si>
    <t>Gürpınar 80.Yıl  Spor Lisesi</t>
  </si>
  <si>
    <t>OÖ - 24 Derslik+Sp.Sl.</t>
  </si>
  <si>
    <t>Özel Eğitim Okulu</t>
  </si>
  <si>
    <t>ÖÖR - 12 Derslik</t>
  </si>
  <si>
    <t xml:space="preserve">Çatalca Arif Nihat Asya Mesleki ve Teknik Anadolu Lisesi </t>
  </si>
  <si>
    <t>MTAL - 18 Ek Derslik</t>
  </si>
  <si>
    <t>İHL - 32 derslik+200 öğr.pansiyon+Sp.Salonu</t>
  </si>
  <si>
    <t>MTAL - 32 Derslik +                        1 atölye</t>
  </si>
  <si>
    <t>Mesleki Eğitim Merkezi</t>
  </si>
  <si>
    <t>EYÜP</t>
  </si>
  <si>
    <t xml:space="preserve">HBÖ - 16 Derslik </t>
  </si>
  <si>
    <t xml:space="preserve">Fen Lisesi </t>
  </si>
  <si>
    <t>OÖ - 24 Derslik +200 öğr.pansiyon</t>
  </si>
  <si>
    <t>Merkez (Mahallesi 12741 parsel)Spor Salonu</t>
  </si>
  <si>
    <t>OÖ - Özel Proje ile Sp.Sl.+Konf.Sl</t>
  </si>
  <si>
    <t>Vali Erol Çakır Çok Programlı Lise  (Şehit Burak Cantürk MTAL)</t>
  </si>
  <si>
    <t xml:space="preserve">ÇPL - 1 Atölye </t>
  </si>
  <si>
    <t>Halk Eğitim Merkezi</t>
  </si>
  <si>
    <t>HBÖ - 12 Derslik</t>
  </si>
  <si>
    <t>Safra Mahallesi 10116 parsele Lise yapımı (Tevfikbey Kız Teknik ve Meslek Lisesi)</t>
  </si>
  <si>
    <t xml:space="preserve">MTAL - 24 Derslik </t>
  </si>
  <si>
    <t>HBÖ - 16 Derslik</t>
  </si>
  <si>
    <t>Anadolu Sağlık Meslek Lisesi</t>
  </si>
  <si>
    <t>Anadolu Lisesi</t>
  </si>
  <si>
    <t>Ömer Çam Anadolu İmam Hatip Lisesi Öğrenci Pansiyonu</t>
  </si>
  <si>
    <t>OÖ-  200 Öğr. Pans.</t>
  </si>
  <si>
    <t>Kurtköy İmam Hatip Lisesi</t>
  </si>
  <si>
    <t>İHL - 24  Derslik+ 400 Öğrs.Pns</t>
  </si>
  <si>
    <t>Barbaros Hayrettin Paşa Mesleki ve Teknik Anadolu Lisesi</t>
  </si>
  <si>
    <t xml:space="preserve"> Mesleki ve Teknik Anadolu Lisesi (Meclis Mah.)</t>
  </si>
  <si>
    <t>OÖ - 24 Derslik + 300 öğrenci pansiyon + Spor Salonu</t>
  </si>
  <si>
    <t>Zekeriyaköy Spor Lisesi</t>
  </si>
  <si>
    <t>SARIYER</t>
  </si>
  <si>
    <t xml:space="preserve">OÖ - 32 Derslik+Sp.Sl.                              </t>
  </si>
  <si>
    <t xml:space="preserve">İHL - 24 Derslik + 200 Öğr. Pans </t>
  </si>
  <si>
    <t>MTAL - 16 Derslik Ek Bina</t>
  </si>
  <si>
    <t>Ortaöğretim Pansiyonu</t>
  </si>
  <si>
    <t xml:space="preserve">OÖ - 300 Öğr. Pans. </t>
  </si>
  <si>
    <t>Anadolu Lisesi (Gazi Mah.)</t>
  </si>
  <si>
    <t xml:space="preserve">OÖ - 24 Derslik                                         </t>
  </si>
  <si>
    <t>Teknik ve Endüstri Meslek Lisesi</t>
  </si>
  <si>
    <t xml:space="preserve">MTAL -  40 Derslikli+2 Atl.                        </t>
  </si>
  <si>
    <t>Cezeri Mesleki ve Teknik Anadolu Lisesi</t>
  </si>
  <si>
    <t>Halk Eğitim Merkezi (Evliya Çelebi)</t>
  </si>
  <si>
    <t>HBÖ - 24 Derslik</t>
  </si>
  <si>
    <t>MTAL -  32 Derslik+2 Atölye</t>
  </si>
  <si>
    <t>İmam Hatip Lisesi (Küplüce)</t>
  </si>
  <si>
    <t>İHL - 20 Derslik+Konf.Sal.+Sp. Sl.</t>
  </si>
  <si>
    <t>Hacı Rahime Ulusoy Mesleki ve Teknik Anadolu Lisesi</t>
  </si>
  <si>
    <t>MTAL - 2 Atölye</t>
  </si>
  <si>
    <t>İmam Hatip Lisesi (Hanze Akın Çolakoğlu)</t>
  </si>
  <si>
    <t>İHL - 32  Derslik</t>
  </si>
  <si>
    <t>Üsküdar Lisesi Konferans Salonu</t>
  </si>
  <si>
    <t>OÖ - Özel Proje</t>
  </si>
  <si>
    <t xml:space="preserve">İNŞAAT DEVAM EDİYOR                                                 </t>
  </si>
  <si>
    <t>YİKOB tarafından yapılan hazırlık çalışmaları kapsamında hazırlanan özel eğitim okulu mimari avan proje YİKOB'un 18.12.2020 tarih ve 115632 sayılı yazısı ekinde MEB İnşaat ve Emlak Dairesi Bşk.lığına onaya gönderilmiş ancak Kadıköy İlçe MEM.nün 05.01.2021 tarih ve 18819143 sayılı yazısnda yapılacak olan okula ait projenin Özel Eğitim Uygulama Okulu (I:II ve III. kademe) olarak yapılması talep edildiğinden 11.01.2021 tarih ve 19042904 sayılı yazımız ile dağıtımlı olarak MEB İnşaat ve Eml.Dai.Bşk.lığına ve YİKOB'a yazıldı gereğinin yapılması istenildi.</t>
  </si>
  <si>
    <t>Vaziyet Planı Ataşehir Belediye Başkanlığında onayda</t>
  </si>
  <si>
    <t xml:space="preserve">Ümraniye Atakent Mah OO (1789 ada, 2 parsel) Halk Bankası tarafından bağış olarak yapılacağından yerine Atatürk Mahallesi Ortaokulu  (787 ada, 63 parsel) </t>
  </si>
  <si>
    <t>Beykoz İshaklı Köyü İO İstanbul Proje Koordinasyon Birimi tarafından yapılacağından yerine Ümraniye Atatürk Mahallesi İlkokul (787 ada, 63 parsel) alındı.</t>
  </si>
  <si>
    <t>YİKOB'un 08.11.2019 tarih ve 113383 sayılı yazısında bahse konu taşınmazın imar durum belgesine göre tip proje yapılamayacğı özel proje yapılıp yapılmayacağı hakkında bilgi verilmesi istenilmiş olup,. 16.12.2019 tarih ve 25009499 sayılı yazımız ile özel proje yapılmasının uygun olduğu bildirilmiştir. Ayrıca 27.02.2020 tarih ve 4299371 sayılı yazımız ile YİKOB'tan yapılan ve yapılacak olan iş ve işlemler hakkında bilgi verilmesi istenildi.</t>
  </si>
  <si>
    <t>Eyüpsultan İlçesi Alibeyköy Mh. İO (38 ada, 28 parsel) taşınmaz ile ilgili mahkeme süreci devam ettiğinden yerine Eyüpsultan İlçesi Kemerburgaz Mahallesi Ortaokul (388 ada, 8 parsel) alındı.</t>
  </si>
  <si>
    <t>Gaziosmanpaşa İlçesi Küçükköy Mah.İO (3518 ada, 43 parsel) Bağış olarak yapılacağından Gaziosmanpaşa Sarıgöl Mahallesi Ortaokul (1452 ada, 35 parsel) alındı.</t>
  </si>
  <si>
    <t>YİKOB tarafından ihale öncesi hazırlık çalışmalarının yapılması için 1452 ada, 35 parsele ait güncel bilgi ve belgeler 31.07.2019 tarih ve 14308516 sayılı yazımız ekinde gönderildi. Ayrıca 27.02.2020 tarih ve 4299204 sayılı yazımız ile YİKOB'tan yapılan iş ve işlemler hakkında bilgi verilmesi istenildi.</t>
  </si>
  <si>
    <t xml:space="preserve">YİKOB tarafından ihale öncesi hazırlık çalışmaları yapılmakta ancak taşınmazın ifraz, yoldan ihdas ve tevhit işlemi olduğundan 06.09.2019 tarih ve 16201778 sayılı yazımız ile Müd.lüğümüz İnşaat ve Emlak Şubesi (Emlak Birimine) gereğinin yapılması istenildi. Ayrıca 24.12.2019 tarih ve 25585631 sayılı yazımız ile Müd.lüğümüz İnşaat ve Emlak Şubesi Emlak Biriminden bugüne kadar yapılan ve yapılacak olan iş ve işlemler hakkında bilgi verilmesi istenildi. </t>
  </si>
  <si>
    <t>Esenyurt Ardıçevler Mahallesi İO (239 ada, 4 parsel)'nun yapılacağı taşınmazın imar ve  mülkiyet sorunları çözülemediğinden yerine Bağcılar  Kirazlı Mahallesi Ortaokulu (3347 ada, 11  parsel) yapım işi alındı.</t>
  </si>
  <si>
    <t>Esenyurt Siteler İO-OO Bahçesine Ek Bina (543 ada, 14 parsel)'nın yapılacağı taşınmazın imar ve  mülkiyet sorunları çözülemediğinden yerine Bağcılar İlçesi Kemnalpaşa Mahallesi İO (3412 ada, 6 parsel) yapım işi alındı</t>
  </si>
  <si>
    <t>İlçe Milli Eğitim Müdürlüğünün 05.08.2019 tarih ve 14482849 sayılı yazısında mevcut okula 05.11.2018 tarihinde yapı kayıt belgesi alındığı, parselin imar sorunlarının çözümüne yönelik (Yola terk işlemi için tescil beyannamesi) Avrupa Yakası Milli Emlak Dairesi Bşk.lığı Haliç Emlak Müd.lüğü tarafından onaylandıktan sonra İlçe Kadastro Müd.lüğüne gönderileceği, ayrıca Belediye tarafından imar durum belgesi ile inşaat istikamet rölevesinin YİKOB'a 18.12.2018 tarihinde gönderildiği ve hazırlanacak vaziyet planının İlçe Belediyesi tarafından onayından sonra işlemlerin sürdürüleceği belirtilmiş ve bu yazı 19.08.2019 tarih ve 14963735 sayılı yazımız ekinde YİKOB'a gönderilmiştir. Ayrıca 27/02.2020 tarih ve 4280188 sayılı yazımız ile İlçe Milli Eğt.Müd.lüğünden yola terk işlemleri hakkında güncel bilgi istenildi.</t>
  </si>
  <si>
    <t xml:space="preserve">Eyüpsultan İlçesi Şehit Öğretmenler OO Bh. Ek Bina (110 ada, 10 parsel) Okul binası İstanbul Proje Koordinasyon Birimi tarafından yıkılıp yeniden yapılacağından yerine Sultangazi İlçesi Zübeyda Hanım Mahallesi İlkokulu (662 ada, 5 parsel) yapım işi alındı. </t>
  </si>
  <si>
    <t>Fatih İlçesi Hırkai Şerif OO (YIK-YAP) (1540 ada 2 parsel) Okul binası  İstanbul Proje Koordinasyon Birimi tarafından yıkılıp yeniden yapılacağından yerine Fatih İlçesi Seyitömer Mahallesi Ortaokulu (1733 ada, 81 parsel) yapım işi alındı</t>
  </si>
  <si>
    <t>Esenyurt Ardıçevler Mahallesi OO (239 ada, 4 parsel) 'nun yapılacağı taşınmazın imar ve  mülkiyet sorunları çözülemediğinden yerine Sultangazi İlçesi 50. Yıl Mahallesi İlkokulu (2777 ada, 1 parsel) yapım işi alındı.</t>
  </si>
  <si>
    <t>Ümraniye İlçesi Çakmak  Mahallesi İHO (2435 ada 1 parsel)'nun yapılacağı taşınmazın plan çalışmaları sonuçlanmadığından yerine Sultangazi İlçesi, Yayla Mahallesi İlkokulu (0 ada, 5889 parsel) yapım işi alındı.</t>
  </si>
  <si>
    <t>Esenyurt İlçesi Güzelyurt AİHL Bh. Ek Bina (İHO) (406 ada, 5 parsel) ' nın yapılacağı taşınmazın  imar ve  mülkiyet sorunları çözülemediğinden yerine Başakşehir İlçesi Kayabaşı Mahallesi Ortaokulu (972 ada 5 parsel) yapım işi alındı.</t>
  </si>
  <si>
    <t>YİKOB tarafından ihale öncesi hazırlık çalışmaları yapılmakta.</t>
  </si>
  <si>
    <t>Bahçelievler Behiye Dr. Nevhiz Işıl İ.O. Bahçesine Anaokulu Yapım işi yerine (Küçükçekmece Atakent Mahallesi (543 ada, 3 parsel) Anaokulu yapım işi alındı.</t>
  </si>
  <si>
    <t>Esenler Fidan Demircioğlu Ortaokulu Bahçesine Anaokulu Yapım işi yerine (Beylikdüzü İlçesi Gürpınar Mahallesi 1589 ada, 3 parsel Anaokulu) Yapım İşi alındı</t>
  </si>
  <si>
    <t>Maltepe İlçesi Şehit Er Çağlar Mengü A.İ.H.L. Bahçesine Anaokulu (15675 ada, 2 parsel) 'nun İlçe MEM'nün talebi gereğince prg.dan çıkarıldı yerine Kadıköy Sulhiye Ersoy Anaokulu yapım işi alındı.</t>
  </si>
  <si>
    <t>Pendik Nurullah Genç İlkokulu Bahçesine Anaokulu yapım işi yerine  (Büyükçekmece İlçesi Mimar Sinan İlkokulu  bahçesine 1552 parsel  Anaokulu) yapım işi alındı.</t>
  </si>
  <si>
    <t>Başakşehir Kayabaşı Mah. 962 Ada 3 Parsele Anaokulu Yapım İşi yerine (Arnavutköy Ahmet Yesevi İlkokulu Bahçesine Anaokulu) yapım işi alındı.</t>
  </si>
  <si>
    <t>G.O.Paşa Küçükköy Mahallesi  (2988 Ada 1 Parsel) Anaokulu Yapım İşi yerine Pendik Yayalar Mah.10339 ada,1 parsel Anaokulu yapım işi alındı.</t>
  </si>
  <si>
    <t>Avcılar TOKİ Salih Şükrüye Yoluç İlkokulu Bahçesine Anaokulu Yapım İşi yerine (Arnavutköy Hadımköy Mahallesi 1728 parsele Anaokulu) yapım işi alındı.</t>
  </si>
  <si>
    <t>Maltepe İlçesi Feyzullah Mahallesi Anaokulu Yapım işi yerine (Bağcılar 100 Yıl Mahallesi 2009 ada, 50 parsel) Anaokulu yapım işi alındı.</t>
  </si>
  <si>
    <t>30.11.2020 tarih ve 17462900 sayılı yazımız ekinde onaylı ek program YİKOB'a gönderildi ve ihale öncesi hazırlık çalışmaları YİKOB tarafından yapılmaktadır.</t>
  </si>
  <si>
    <t>TOKİ</t>
  </si>
  <si>
    <t xml:space="preserve">TOKİ </t>
  </si>
  <si>
    <t>Yatırım Programına yeni alınan proje</t>
  </si>
  <si>
    <t xml:space="preserve">ATAŞEHİR İlçesinden Tuzla İlçesine kaydırıldı. 15.12.2016 TARİHİNDE GEÇİCİ YER TESLİMİ YAPILDI.(Ancak İBB tarafından altı otopark üstü okul yapılması iş ve işlemleri devam ediyor yapım işi fesih edildi) </t>
  </si>
  <si>
    <t>25/12/2019 tarih ve 25796732SSayılı yazımız ile YİKOB'a gönderildi ihale öncesi hazırlık çalışmalarının yapılması istenildi.</t>
  </si>
  <si>
    <t>YİKOB tarafından İhale dosyası hazırlık çalışmaları kapsamında yapılan plankote çalışması sonucunda okul bahçesine özel ve tip proje sığmadığı tesbit edilmiş olup, 18.08.2020 tarih ve 10811852 sayılı yazımız ile Belediye Bşk.lığından ihtiyaç olan özel projenin yapılması ve avan projenin Bakanlığımız onayının alınması için Müdürlüğümüze gönderilmesi istenildi.</t>
  </si>
  <si>
    <t>YİKOB'un 28.02.2018 tarih ve 19832 sayılı yazısında taşınmaza ait güncel kot kesit belgesi imar plan örneği ile imar durum belgesinin güncel olarak gönderilmesi istenilmiş olup, 05.03.2019 tarih ve 4650136 sayılı yazımız ile İlçe MEM.den belgelerin ilgili kurumlardan temin edilerek gönderilmesi istenilmiş ancak gönderilmediğinden tekrar 24/12/2019 tarih ve 25595530 sayılı yazımız ile İlçe MEM'e ilgi yazımızın ceabının verilmesi isteniltdi. Alınan cevabi 23.01.2020 tarih ve 1740213 sayılı yazıda Belediye Bşk.lığından 715 ada, 1 parsele ait belgelerin istenildiği ancak Belediye Bşk.lığının taşınmazın yola terk işlemlerinin yapılmadan uygulama yapılamayacının bildirildiği belirtildiğinden 02/03/2020 tarih ve 4450627 sayılı yazımız ile yola terk işlemlerinin yaptırılması için Müd.lüğümüz Emlak Birimine teklifte bulunulması ayrıca yapımı planlanan eğitim yatırımın yapılacağı imar ve mülkiyet sorunu olmayan taşınmazın tesbit edilerek güncel bilgi ve belgelerin gönderilmesi istenildi. Alınan cevabi 10.04.2020 tarih ve 6315892 sayılı İlçe MEM'nün yazısında 715 ada, 1 parsel üzerine yatırımın yapılması ve yola terk işlemlerinin yapılması istenilmiş olup, 16/04/2020 tarih ve 6421033 sayılı yazımız ile Harita Müh.Esra YAZICI görevlendirildi. Alınan cevabi 10.09.2020 tarih ve 12467037 sayılı teknik raporda işlemlerin tamamlandığı ve gereğinin yapılmak üzere Çevre ve Şehircilik Müdürlüğüne 08.09.2020 tarih  62024621 sayılı yazı ekinde belgeler gönderilmiştir.</t>
  </si>
  <si>
    <t>Çatalca İlçe MEM'nün 24.09.2019 tarih ve 17915443 sayılı yazısında mevcut okulun bahçesine ihtiyaç nedeniyle 18 derslikli ek bina yapılması talep edildiğinden 14.10.2019 tarih ve 19920806 sayılı yazımız ile dağıtımlı olarak gereği için MEB Strateji Geliştirme Bşk.lığına bilgi için Çatalca Kaymakamlığı İlçe Milli Eğt.Müd.lüğüne yazıldı adı geçen okulun bahçesine 18 derslikli ek bina yapılabilmesi için karkteristik değişikliği yapılması istenildi.</t>
  </si>
  <si>
    <t>19.01.2018 tarih ve 1437087 sayılı yazımız ekinde İhale (CD) dosyası YİKOB'a gönderildi incelenerek ihale edilmek üzere yaklaşık maliyet dosyasının Müdürlüğümüze gönderilmesi istenildi. Tekrar 16/12/2019 tarih ve 25009245 sayılı yazımız ile YİKOB'tan yapılan ve yapılacak olan iş ve işlemler hakkında bilgi  verilmesi istenildi. Herhangi bir bilgi alınamadığından tekrar 02.03.2020 tarih ve 4553412 sayılı yazımız ile YİKOB'tan bilgi verilmesi istenildi.</t>
  </si>
  <si>
    <t>20.03.2018 tarih ve 5714617 sayılı yazımız ekinde İhale (CD) dosyası YİKOB'a gönderildi incelenerek ihale edilmek üzere yaklaşık maliyet dosyasının Müdürlüğümüze gönderilmesi istenildi. Tekrar 16/12/2019 tarih ve 25009261 sayılı yazımız ile YİKOB'tan ilgi yazımıza cevap verilmesi istenildi. Tekrar  03.03.2020 tarih ve  4671633 saylı yazımız ile YİKOB'tan yapılan ve yapılacak olan iş ve işlemler hakkında bilgi verilmesi istenildi.</t>
  </si>
  <si>
    <t>Bahse konu eğitim binalarının yapılacağı taşınmaz satış listesine konulduğundan çıkartılması çalışmaları devam ediyor</t>
  </si>
  <si>
    <t>Fatih İlçesi Pertevniyel Lisesi bahçesine yapılamadığından 24.10.2017 tarih ve 17508777 sayılı Valilik Olur'u ile yer değişikliği yapıldı. 27.12.2019 tarih ve 25966394 sayılı yazımız ile YİKOB'a PROPLAN'dan teslim alınan dosyalar gönderildi ihale öncesi hazırlık çalışmalarının tamamlanması istenildi. YİKOB'un 13.03.2020 tarih ve 31290 sayılı yazısında ruhsatın düzenlenerek gönderilmesinin istenildiği belirtilmiş olup, 18.03.2020 tarih ve 5662879 sayılı yazımız ile İlçe MEM'den konunun takip edilerek sonuçlandırılması ve sonucundan bilgi verilmesi istenildi.</t>
  </si>
  <si>
    <t>26/11/2019 tarih ve 23400082 Sayılı yazımız ile güncel bilgi ve belgeler YİKOB'a gönderildi ihale öncesi hazırlık çalışmalarının yapılması istenildi. 02.03.2020 tarih ve 4553543 sayılı yazımız ile yapılan ve yapılacak olan iş ve işlemler hakkında YİKOB'tan bilgi verilmesi istenildi.</t>
  </si>
  <si>
    <t>İNŞAAT DEVAM EDİYOR</t>
  </si>
  <si>
    <t>31.07.2019 tarih ve 14308488 sayılı yazımız ekinde Safa Mahallesi 896 ada, 7 parsel sayılı taşınmaza ait bilgi ve belgeler YİKOB'a gönderildi. YİKOB'un 06.08.2019 tarih ve 77389 sayılı yazısında taşınmaz üzerine herhangi bir tip projenin sığmadığı belirtilmiş ve Müd.lüğmüzce verilecek ihtiyaç programına göre özel proje çizdirileceği bildirildiğinden 08.08.2019 tarih ve 14716876 sayılı yazımız ekinde ihtiyaç programı gönderilmiş ve gereğinin yapılması istenilmiştir. Ayrıca 02.03.2020 tarih ve 4553256 sayılı yazımız ile yapılan ve yapılacak olan iş ve işlemler hakkında bilgi verilmesi istenildi. YİKOB'tan alınan 27.04.2020 tarih ve 41082 sayılı yazıda hazırlanan mimari projenin ihtiyaç ve fonksiyon yönünden incelenerek uygunluğunun verilmesinin MEB inşaat ve Eml,Dairesi Bşk.lığından istenildiği belirtilmiştir.</t>
  </si>
  <si>
    <t>Yatırım programına yeni alınan iş</t>
  </si>
  <si>
    <t xml:space="preserve">İHALE AŞAMASINDA                                          (MEB Strateji Geliştirme Başkanlığı' nın 17.12.2020 tarihli ve 84536802-20-E.18167720 sayılı yazısı ekinde ihale onayı geldi) </t>
  </si>
  <si>
    <t>15.10.2018 tarih ve 19327309 sayılı yazımız ekinde taşınmaz üzerinde bulunan korunması gerekli ağaçların translantasyonunun yapılıp yapılmayacağı hakkında Orman Bölge Müdürlüğünün 28.09.2018 tarih ve 278 sayılı yazısı ekindeki rapor YUKOB'a gönderildi ve gereğinin yapılması istenildi. 02.03.2020 tarih ve 4553770  sayılı yazımız ile yapılan ve yapılacak olan iş ve işlemler hakkında YİKOB'tan bilgi verilmesi istenildi. Alınan cevabi 13.04.2020 tarih ve 38538 sayılı yazıda taşınmaz üzerine yapılacak okulun özel proje ile yapılabileceği belirtildiğinden özel proje yapılıp yapılmayacağı hakkında bilgi verilmesi istenilmiş olup, .../04/2020 tarih ve .... sayılı yazımız ile mimar M.EROĞLU ÖZÇELİK ve Mimar Ayşe Gönül KIVRAK görevlendirildi.</t>
  </si>
  <si>
    <t>05.03.2019 tarih ve 4746102 sayılı yazımızda tayınmazın bulunduğu bölgenin plnaları askıda olduğundan taşınmaz üzerinde pansiyon binasının yapılacağı yere denk gelen ve korunması gerekli  ağaçlar plan notunun taşınabilir ağaçlar olarak plan notlarına işlenmesi gereği için İBB İmar ve Şehircilik  Daire Bşk.lığı Planlama Müd.lüğüne bilgi için YİKOB'a yazıldı. 04.03.2020 tarih ve  4694177 sayılı yazımız ile İBB 'den yazımıza bugüne kadar herhangibir cevap alınamadığı bildirilmiş ve konu hakkında bilgi verilmesi istenilmiş olup, YİKOB'ada bilgi için yazıldı. İBB'nin 08.05.2020 tarih ve 70457 sayılı yazısında 1/5000 ölçekli planın onamı süreceğinin devam ettiği belirtilmiş olup, onama sürecinin bitmesine müteakip bilgi verileceği bildirilmiştir. .../05/2020 tarih ve ... sayılı yazımız ile YİKOB'a bilgi verildi.</t>
  </si>
  <si>
    <t>YİKOB'un 10.07.2018 tarih ve 62364 sayılı yazısında okul yapım işine ait vaziyet planının ilgili belediyesi tarafından taşınmazın yola terk işlemlerinin ruhsat aşamasından önce tamamlanması kaydıyla onaylandığı belirtilmiş ve gereğinin yapılması istenilmiştir. 16.08.2018 tarih ve 14772218 sayılı yazımız ile taşınmazın yola terk işlemlerinin yapılması ve güncel belgelerin temin edilerek Birimimize gönderilmesi Müd.lüğümüz Emlak Biriminden istenilmiştir. Ayrıca 02.03.2020 tarih ve 4550267 sayılı yazımız ile Müd.lüğümüz  Emlak Biriminden konu ile ilgili yapılan ve yapılacak olan iş ve işlemler hakkında Birimimize bilgi verilmesi istenilmiştir.</t>
  </si>
  <si>
    <t>12.08.2016 tarih ve 8622831 sayılı yazımız ekinde İhale (CD) dosyası YİKOB'a gönderildi ihalenin en kısa sürede yapılması istenildi. Tekkrar 16/12/2019 tarih ve 25009220 sayılı yazımız ile yapılan iş ve işlemler hakkında bilgi verilmesi istenildi. Cevap alınamadığından tekrar 02.03.2020 tarih ve 4553230 sayılı yazımız ile YİKOB'tan yapılan ve yapılacak olan iş ve işlemler hakkında bilgi verilmesi istenildi. Alınan cevabi 12.03.2020 tarih ve 30672 sayılı YİKOB'un yazısında TAGO müşavir firmanın teslim ettiği ihale dosyasındaki eksikliklerin tamamlanması iş ve işlemlerinin devam ettiği belirtilmiştir.</t>
  </si>
  <si>
    <t>30.10.2019 tarih ve 21280985 sayılı yazımız ile İlçe Milli Eğitim Müdürlğünden güncel bilgi ve belgeler istenildi. Cevap alınamadığından Tekrar 17.12.2019 tarih ve 25027922 sayılı yazımız ile İlçe MEM'den bilgi ve belgeler istenildi yine cevap alınamadığıından 02.03.2020 tarih ve 4549556 sayılı yazımız ile İlçe MEM'den acilen bilgi ve belgelerin gönderilmesi istenildi.</t>
  </si>
  <si>
    <t>YİKOB'un 02.03.2020 tarih ve 25578 sayılı yazısında İlgili Belediyesine ruhsat verilmesinin yazıldığı belirtilmiş olup, 03.03.2020 tarih ve 4651246 sayılı yazımız ile İlçe MEM'e konunun İlçe Belediye Başkanlığından takip edilerek sonuçlandırılması ve sonucundan Müdürlüğümüze bilgi verilmesi istenildi.</t>
  </si>
  <si>
    <t>YİKOB'a 27.11.2017 tarih ve 20164749 sayılı yazımız ile Belediyenin hazırlamış olduğu projenin eksikliklerinin tamamlandığı bildirilmiş olup,  16/12/2019 tarih ve 25009600 sayılı yazımız ile YİKOB'tan ilgi yazımız ile ilgi yapılan ve yapılacak iş ve işlemler hakkında bilgi verilmesi istenildi. Cevap alınamadığından tekrar 03.03.2020 tarih ve 4671368  sayılı yazımız ile YİKOB'tan yapılan ve yapılacak iş ve işlemler hakkında bilgi verilmesi istenildi</t>
  </si>
  <si>
    <t>YİKOB'un 23.08.2019 tarih ve 82624 sayılı yazısı ekinde vaziyet planının onaylanması için  ilgili belediyesine gönderildiği Belediye Bşk.lığının cevabi 01.10.2019 tarih ve 3212802 sayılı yazısında  uygulanacak olan projede yağmurla sisteminin kurulması gerektiği belirtildiğinden 04.12.2019 tarih ve 125823 sayılı yazısı ile Müdürlüğümüz görüşü YİKOB tarafından sorulmuş olup, 21.01.2020 tarih ve 1480718 sayılı yazımız ile taşınmaz üzerine başka bir tip proje uygulanamıyor ise yağmurla sisteminin yapılmasının uygun görüldüğü YİKOB'a bildirildi. YİKOB'un 10.07.2020 tarih ve 60847 sayılı yazısı ekinde onaylı vaziyet planı Ümraniye Belediye Başkanlığına gönderilmiş ve ruhsatın düzenlerek gönderilmesi istenilmiş olup, .../07.2020 tarih ve ... sayılı yazımız ile İlçe Milli Eğitim Müdürlüğünden konun takip edilerek sonuçlandırılması ve sonucundan bilgi verilmesi istenilmiştir.</t>
  </si>
  <si>
    <t>30.10.2019 TARİH ve 21280933 sayılı yazımız ile İlçe Milli Eğitim Müdürlğünden güncel bilgi ve belgeler istenildi Alınan cevabi 10.12.2019 tarih ve 24547499 sayılı yazı ekindeki güncel belgeler YİKOB'a 12/12/2019 tarih ve 24712534 sayılı yazımız ekinde gönderilmiş ve ihale öncesi hazırlık çalışmalarının yapılması istenilmiştir. Alınan cevabi 24.02.2020 tarih ve 22368 sayılı YİKOB'un yazısında taşınmaz üzerine 32 derslikli okul binası ile 2 atölye binasının sığmadığı belirtilmiş ve alternatif proje çalışmaları yazı ekinde gönderilmiştir. Buna istinaden 27.02.2020 tarih ve 4279106 sayılı yazımız ile Müd.lüğmüz teknik elemanlarından Mimar Merve EROĞLU ÖZÇELİK ile Harita Müh.Esra YAZICI'ya görevlendirme yapılmıştır. 11.03.2020  tarihinde teknik rapor geldi okul binasının haricinde atölyelerin 62 parsele sığmadığı belirtildiğinden 13/03/2020 tarih ve 5490838 sayılı yazımız ile dağıtımlı olarak gereği için ilçeye bilgi için YİKOB'a yazıldı İlçe MEM'den okul binası ve atölyelerin yapılabileceği başka arsanın tesbit edilmesi ve güncel belgelerin gönderilmesi istenildi. Ayrıca 62 parsel üzerine hangi tür okul yapımına ihtiyaç olduğunun bildirilmesi istenildi.</t>
  </si>
  <si>
    <t>YER TESLİMİ YAPILDI</t>
  </si>
  <si>
    <t>Orman Kadastrosu ve Tescili Projesi</t>
  </si>
  <si>
    <t>Çatalca, Ümraniye, Beşiktaş, Sarıyer, Başakşehir, Esenler, Beykoz, Sarıyer, Arnavutköy, Sancaktepe, Sultanbeyli</t>
  </si>
  <si>
    <t>Özel Bütçe</t>
  </si>
  <si>
    <t xml:space="preserve">Orman Koruma ve Yangınla Mücadele Projesi </t>
  </si>
  <si>
    <t>Beykoz, Kartal</t>
  </si>
  <si>
    <t>Ormanların Geliştirilmesi ve Genişletilmesi Projesi</t>
  </si>
  <si>
    <t>Şile, Beykoz, Çatalca, Silivri, Sarıyer, Eyüpsultan, Bahçelievler</t>
  </si>
  <si>
    <t>Endüstriyel Plantasyon  Projesi</t>
  </si>
  <si>
    <t>Şile, Beykoz, Çatalca</t>
  </si>
  <si>
    <t>Orman İçi Mesire Yerleri Yapımı Projesi</t>
  </si>
  <si>
    <t>Ahşap Malzeme Test Laboratuvarı Kurulması Projesi</t>
  </si>
  <si>
    <t>Ormancılık Altyapısı ve Üretim Makinası Alımı Projesi (Döner Sermaye)</t>
  </si>
  <si>
    <t>Çatalca, Eyüpsultan, Şile, Sarıyer</t>
  </si>
  <si>
    <t>Döner Sermaye</t>
  </si>
  <si>
    <t>Fidan Üretim Projesi(Döner Sermaye)</t>
  </si>
  <si>
    <t>Sarıyer, Eyüpsultan, Bahçelievler, Çatalca</t>
  </si>
  <si>
    <t>ÇEŞİTLİ İŞLERİN ETÜD PROJESİ</t>
  </si>
  <si>
    <t>ETÜD- PROJE</t>
  </si>
  <si>
    <t>DERSLİK VE MERKEZİ BİRİMLER</t>
  </si>
  <si>
    <t>BARINMA (9.700 M2), EĞİTİM (65.146 M2)</t>
  </si>
  <si>
    <t>BAKIM ONARIM, BİLGİ VE İLETİŞİM TEKNOLOJİLERİ,KESİN HESAP, MAKİNA- TEÇHİZAT</t>
  </si>
  <si>
    <t>KAMPÜS ALTYAPI</t>
  </si>
  <si>
    <t>D.GAZ DÖNÜŞÜMÜ, ELKT HATTI, KAMP. İÇİ YOL, KAN. HATTI, PEYZAJ, SU İSALE, TEL. HATTI</t>
  </si>
  <si>
    <t>YAYIN ALIMI</t>
  </si>
  <si>
    <t>BASILI VE ELEKTRONİK YAYIN ALIMI</t>
  </si>
  <si>
    <t>AÇIK VE KAPALI SPOR TESİSLERİ</t>
  </si>
  <si>
    <t>BASKETBOL SAHASI VE MİNİ FUTBOL SAHASI</t>
  </si>
  <si>
    <t>MERKEZİ ARAŞTIRMA LABORATUVARI</t>
  </si>
  <si>
    <t>MAKİNA TEÇHİZAT TEKNOLOJİK ARAŞTIRMA</t>
  </si>
  <si>
    <t>Bağcılar Belediye Başkanlığı Hizmet Binası İnşaatı</t>
  </si>
  <si>
    <t>Düzenleyici ve Denetleyici Kurumlar</t>
  </si>
  <si>
    <t>Bağcılar 1. Bölge Bordür Tretuvar Tamiratı ve Tranşe Kaplama Yapılması 2021</t>
  </si>
  <si>
    <t>Bağcılar 2. Bölge Bordür Tretuvar Tamiratı ve Tranşe Kaplama Yapılması 2021</t>
  </si>
  <si>
    <t>Bağcılar 3. Bölge Bordür Tretuvar Tamiratı ve Tranşe Kaplama Yapılması 2021</t>
  </si>
  <si>
    <t>Bağcılar 4. Bölge Bordür Tretuvar Tamiratı ve Tranşe Kaplama Yapılması 2021</t>
  </si>
  <si>
    <t>Muhtelif Tadilat İşleri Yapılması 2021</t>
  </si>
  <si>
    <t>Bina Bakım Onarım</t>
  </si>
  <si>
    <t>Bağcılar Geneli Asfalt Kaplama Yapılması 2021</t>
  </si>
  <si>
    <t xml:space="preserve">Bağcılar Geneli Yağmursuyu Kanalı Yapılması 2021 İşi </t>
  </si>
  <si>
    <t>Konut Alt Yapısı</t>
  </si>
  <si>
    <t>2020 Yılı Bağcılar Genelinde Park,Yeşil Alan Ve Refüjlerde Onarım,Tamirat Ve Tadilat Yapılması İşi</t>
  </si>
  <si>
    <t>İş Devam Ediyor.</t>
  </si>
  <si>
    <t>BORDÜR TRETUVAR TAMİR</t>
  </si>
  <si>
    <t>ASFALT KAPLAMA</t>
  </si>
  <si>
    <t>İNŞAAT-BAKIM ONARIM</t>
  </si>
  <si>
    <t>SANCAKTEPE BELEDİYESİ FATİH MAHALLESİ  24 DERSLİKLİ ORTAOKUL TAMAMLAMA İNŞAATI  YAPILMASI YAPIM İŞİ</t>
  </si>
  <si>
    <t>2020 YILI SANCAKTEPE İLÇESİ SAMANDIRA BÖLGESİ MUHTELİF CADDE VE SOKAKLARDA BORDÜR VE TRETUVAR TAMİRİ YAPILMASI YAPIM İŞİ</t>
  </si>
  <si>
    <t>2020 YILI SANCAKTEPE BELEDİYESİ MUHTELİF CADDE VE SOKAKLARINDA ASFALT KAPLAMA YAPILMASI İŞİ</t>
  </si>
  <si>
    <t xml:space="preserve">İLÇEMİZ MUHTELİF BİNALARINDA BAKIM-ONARIM-TADİLAT-YAPIM VE ÇEVRE DÜZENLEMESİ İŞLERİ YAPILMASI </t>
  </si>
  <si>
    <t>SANCAKTEPE BELEDİYESİ 10 ADET FARKLI PREFABRİK FİTNESS SALONU VE ALT YAPI İNŞAAT İŞLERİ YAPILMASI İŞİ</t>
  </si>
  <si>
    <t xml:space="preserve"> SANCAKTEPE BELEDİYE BAŞKANLIĞI</t>
  </si>
  <si>
    <t>Silivri Tapu Müdürlüğü
Hizmet Binası</t>
  </si>
  <si>
    <t>Silivri İlçesi,
Piri Mehmetpaşa
Mahallesi,
1546 ada,
 1 parsel</t>
  </si>
  <si>
    <t>Halkalı- Çocuk Evleri Sitesi</t>
  </si>
  <si>
    <t>Küçükçekmece
İlçesi, 
Halkalı Merkez Mahallesi, Koru 
Caddesi, No:12</t>
  </si>
  <si>
    <t>Etüt-Proje, İnşaat</t>
  </si>
  <si>
    <t>Ağaçlı- Çocuk Destek Merkezi</t>
  </si>
  <si>
    <t>Eyüpsultan İlçesi,
Ağaçlı Köyü yolu, No:53</t>
  </si>
  <si>
    <t>Çocuk Evleri Sitesi</t>
  </si>
  <si>
    <t>Sancaktepe İlçesi, Eyüpsultan Mahallesi, 3 pafta, 1861 parsel</t>
  </si>
  <si>
    <t>14. Bölge Projeleri ÇED veya Proje Tanıtım Raporu Hazırlanması</t>
  </si>
  <si>
    <t>ÇED Raporu</t>
  </si>
  <si>
    <t>İstanbul Şile Doğancılı Sel Kapanı Proje Yapımı</t>
  </si>
  <si>
    <t>Proje Yapımı</t>
  </si>
  <si>
    <t>İstanbul Şile Karakiraz Sel Kapanı Proje Yapımı</t>
  </si>
  <si>
    <t>İstanbul-Şile Yunuslu Göleti Planlama Raporu Hazırlanması</t>
  </si>
  <si>
    <t>Planlama Raporu</t>
  </si>
  <si>
    <t>İstanbul-Çatalca Ayvalı Göleti İnşaatı</t>
  </si>
  <si>
    <t>Gölet İnşaatı</t>
  </si>
  <si>
    <t>İstanbul-Hamzalı Barajı Proje Yapımı</t>
  </si>
  <si>
    <t>İstanbul-Kabakoz Barajı Proje Yapımı</t>
  </si>
  <si>
    <t>İstanbul-Riva, Pot, Kilyos, Ağva, Sungurlu, Uzundere, Kınıklı Dereleri Mahmuz Yapısı Projeleri Yapımı</t>
  </si>
  <si>
    <t>14.Bölge Ağaçlandırma</t>
  </si>
  <si>
    <t>Ağaçlandırma</t>
  </si>
  <si>
    <t>Alibey Barajı Onarımı</t>
  </si>
  <si>
    <t xml:space="preserve">Onarım </t>
  </si>
  <si>
    <t>Büyükçekmece Barajı Onarımı</t>
  </si>
  <si>
    <t>Büyükçekmece</t>
  </si>
  <si>
    <t>Ömerli Barajı Onarımı</t>
  </si>
  <si>
    <t>Çekmeköy</t>
  </si>
  <si>
    <t>14.Bölge Doğal Afet ve Taşkın Hasarları Onarımı</t>
  </si>
  <si>
    <t>Taşkın Hasarı Onarımı</t>
  </si>
  <si>
    <t>İstanbul Yenişamlar Barajı Planlama Raporu Hazırlanması</t>
  </si>
  <si>
    <t>Arnavutköy</t>
  </si>
  <si>
    <t xml:space="preserve">İstanbul Şile Kabakoz Deresi Mahmuz Yapısı Proje Yapımı </t>
  </si>
  <si>
    <t>Melen Barajı Mansabı Nehir Islahı Planlama Raporu Hazırlanması, Proje ve Kamulaştırma Planı Yapımı</t>
  </si>
  <si>
    <t>Kocaali</t>
  </si>
  <si>
    <t>Planlama,Proje ve Kamulaştırma Planı</t>
  </si>
  <si>
    <t>14.Bölge Bina Tesisleri Onarımı</t>
  </si>
  <si>
    <t>Üsküdar</t>
  </si>
  <si>
    <t>İstanbul Muhtelif Dere Islahı 4.Kısım Planlama Raporu Hazırlanması,Proje ve Kamulaştırma Planları Proje Yapımı</t>
  </si>
  <si>
    <t>İstanbul Riva Deresi 1.Kısım Sel kapanları ve Yan Dereler Islahı Planlama Raporu Hazırlanması,Proje ve Kamulaştırma Planları Proje Yapımı</t>
  </si>
  <si>
    <t xml:space="preserve">İstanbul Alibey Barajı Rehabilitasyonu Proje Yapımı </t>
  </si>
  <si>
    <t>İstanbul Büyükçekmece Barajı Rehabilitasyonu Proje Yapımı</t>
  </si>
  <si>
    <t>İstanbul Ömerli Barajı Rehabilitasyonu Proje yapımı</t>
  </si>
  <si>
    <t>Melen Barajı Müteferrik İşler</t>
  </si>
  <si>
    <t>Ölçüm ve Araştırma Hizmetleri</t>
  </si>
  <si>
    <t>Ölçüm Araştırma</t>
  </si>
  <si>
    <t>Yalıköy Filitre Kumu Tesisleri Kum Üretimi</t>
  </si>
  <si>
    <t>Kum Üretimi</t>
  </si>
  <si>
    <t>Büyük İstanbul İçmesuyu III. Merhale Melen Barajı Kamulaştırması</t>
  </si>
  <si>
    <t>Kamulaştırma</t>
  </si>
  <si>
    <t>Büyük İstanbul İçmesuyu 4. Merhale Osmangazi Barajı İnşaatı</t>
  </si>
  <si>
    <t>Baraj İnşaatı</t>
  </si>
  <si>
    <t>Büyük İstanbul İçmesuyu 4. Merhale Sungurlu Barajı İnşaatı</t>
  </si>
  <si>
    <t>Büyük İstanbul İçmesuyu 4. Merhale Pirinççi Barajı İnşaatı</t>
  </si>
  <si>
    <t>Melen Barajı Güçlendirilmesi</t>
  </si>
  <si>
    <t>Baraj Güçlendirilmesi</t>
  </si>
  <si>
    <t>14.Bölge Proje ve Kamulaştırma Planları Proje Yapımı</t>
  </si>
  <si>
    <t>Kamulaştırma Planı,Proje</t>
  </si>
  <si>
    <t>İstanbul Karacaköy Barajı Planlama Raporu Hazırlanması</t>
  </si>
  <si>
    <t>İstanbul Mandıra Barajı Planlama Raporu Hazırlanması</t>
  </si>
  <si>
    <t>Büyük İstanbul İçmesuyu 4. Merhale Osmangazi Barajı Kamulaştırması</t>
  </si>
  <si>
    <t>Büyük İstanbul İçmesuyu 4. Merhale Sungurlu Barajı Kamulaştırması</t>
  </si>
  <si>
    <t>BAŞLANMADI.</t>
  </si>
  <si>
    <t xml:space="preserve">BAŞLANMADI.                                             </t>
  </si>
  <si>
    <t xml:space="preserve"> DEVAM EDİYOR.</t>
  </si>
  <si>
    <t>DEVAM EDİYOR.</t>
  </si>
  <si>
    <t xml:space="preserve">BAŞLANMADI.                                              </t>
  </si>
  <si>
    <t>BAŞLANMADI.                       25.09.2020 ihale tarihli işin İstanbul12.İdare Mahkemesi tarafından Çed raporu nediniyle yürütmeyi durdurma kararı vermesi nedeniyle ihale edilmedi.</t>
  </si>
  <si>
    <t xml:space="preserve"> DEVAM EDİYOR.         </t>
  </si>
  <si>
    <t>Hamidiye İdari Binalar</t>
  </si>
  <si>
    <t>Hamidiye Eczacılık Fakültes</t>
  </si>
  <si>
    <t>Hamidiye Hemşirelik Fakültesi</t>
  </si>
  <si>
    <t>Hamidiye Sağlık Bilimleri Fakültesi</t>
  </si>
  <si>
    <t>Çeşitli Ünitelerin Etüt Projesi</t>
  </si>
  <si>
    <t>Mekteb-i Tıbbiye-i Şahane Binası 2. Etap Restorasyonu</t>
  </si>
  <si>
    <t>Rektörlük Bilimsel Araştırma Projeleri</t>
  </si>
  <si>
    <t>Hizmet Binası</t>
  </si>
  <si>
    <t>Etüt-Proje, Müşavirlik</t>
  </si>
  <si>
    <t>stanbul Anıtlar ve Rolöve Müdürlüğü ile Vakıf İnşaat Restorasyon ve Ticaret A.Ş. Arasında İmzalanan Sözleşmenin Proje Bedeli, Yıllara Dağılımı ile Cumhurbaşkanlığı Yatırım Programı Ödenekleri Uyumsuz Olduğundan Üniversite Üst Yönetimi İle Cumhurbaşkanlığı Strateji ve Bütçe Başkanlığı Yetkilileri Arasında Görüşme Planlanmaktadır.</t>
  </si>
  <si>
    <t>ÇEŞİTLİ ÜNİTELERİN ETÜD-PROJESİ</t>
  </si>
  <si>
    <t>İSYANBUL</t>
  </si>
  <si>
    <t>Doğalgaz dönüşümü, elektrik hattı, kampüs içi yol, kanalizasyon hattı, peyzaj, su isale hattı, telefon hattı</t>
  </si>
  <si>
    <t>YAYIN ALIMLARI</t>
  </si>
  <si>
    <t>Bakım Onarım, Bilgi ve İletişim Teknolojileri, Kesin Hesap, Makine-Teçhizat</t>
  </si>
  <si>
    <t xml:space="preserve">DERSLİK VE MERKEZİ BİRİMLER </t>
  </si>
  <si>
    <t xml:space="preserve"> Sosyal Donatı(14.500  m²),                  Eğitim (11.341  m²)</t>
  </si>
  <si>
    <t>DİŞ HEKİMLİĞİ FAKÜLTESİ ENGELLİ UYGULAMA MERKEZİ</t>
  </si>
  <si>
    <t>Hastane İnşaatı (5.759 m²)</t>
  </si>
  <si>
    <t>Spor Salonu (53 adet)</t>
  </si>
  <si>
    <t>SULTANAHMET YERLEŞKESİ REKTÖRLÜK BİNA RESTORASYONU</t>
  </si>
  <si>
    <t>İstanbul İli Eyüp İlçesi Hasdal Kışlası 112 Acil Çağrı Merkezi Hizmet Binası Yapım İşi</t>
  </si>
  <si>
    <t>Eyüpsultan</t>
  </si>
  <si>
    <t>İstanbul İli Silivri İlçesi Jandarma Komutanlığı Hizmet Binası Yapım İşi</t>
  </si>
  <si>
    <t>İstanbul İli Avcılar İlçesi Ambarlı Mahallesinde Bulunan Afete Maruz Bölgenin Kuzey Sınırı Boyunca Kazıklı Tutucu Yapı Yapılması İşi</t>
  </si>
  <si>
    <t>Avcılar</t>
  </si>
  <si>
    <t xml:space="preserve">İstanbul İli Gaziosmanpaşa İlçesi Küçükköy Polis Merkezi Amirliği ve İlçe Emniyet Müdürlüğü Ek Hizmet Binası Yapım İşi </t>
  </si>
  <si>
    <t>Gaziosmanpaşa</t>
  </si>
  <si>
    <t>İstanbul İli Bahçelievler 25 Mt Kapalı Atış Poligonu Yapım İşi</t>
  </si>
  <si>
    <t>Bahçelievler</t>
  </si>
  <si>
    <t>Atış Poligonu</t>
  </si>
  <si>
    <t>İstanbul İli Şile Teke Jandarma Karakol Komutanlığı Hizmet Binası ve Silivri Büyükkılıçlı Jandarma Karakolu Onarım İşi</t>
  </si>
  <si>
    <t>İstanbul İli Küçükçekmece İlçesi Nüfus ve Vatandaşlık Müdürlüğü Onarım İşi</t>
  </si>
  <si>
    <t>Küçükçekmece</t>
  </si>
  <si>
    <t>İstanbul İli Esenyurt İlçesi Nüfus ve Vatandaşlık Müdürlüğü Onarım İşi</t>
  </si>
  <si>
    <t>Esenyurt</t>
  </si>
  <si>
    <t>İstanbul İli Esenyurt Mevlana Polis Merkezi Amirliği Yapım İşi</t>
  </si>
  <si>
    <t>İstanbul İli Bahçeşehir İl Jandarma Komutanlığı ve İstanbul İli Çatalca Karacaköy Jandarma Karakol Komutanlığı Onarım İşleri</t>
  </si>
  <si>
    <t>İstanbul İl Afet ve Acil Durum Müdürlüğü Hasdal ve Yeşilköy Hizmet Binaları Onarım ve Tadilatı İşi</t>
  </si>
  <si>
    <t>Yeni Nesil 112 Acil Çağrı Merkezi Projesi Altyapı Kurulumu İşi</t>
  </si>
  <si>
    <t>İstanbul İli Sarıyer Kilyos Jandarma Karakol Komutanlığı Hizmet Binası Güçlendirme ve Bakım Onarım İşi</t>
  </si>
  <si>
    <t>İstanbul İli Eyüpsultan Akşemsettin Polis Merkezi Amirliği Yapım İşi</t>
  </si>
  <si>
    <t xml:space="preserve">İstanbul İli 112 Acil Çağrı Merkezi Hizmet Binası Açık Otopark Alanı Çevre Duvarı ve Otopark Cephelerinin Kapatılması İşi </t>
  </si>
  <si>
    <t>Sancaktepe İlçesi, Damatrys Sarayı rölöve, restitüsyon, restorasyon, inşaat müh., makine müh., elektrik müh., peyzaj mimarlığı projeleri ile zemin ve temel etüdünün hazırlanması işi.</t>
  </si>
  <si>
    <t>ETÜT - PROJE</t>
  </si>
  <si>
    <t>703 Ada 4 Parseldeki Şişli Maçka Akif Tuncel Teknik ve Endüstri Meslek Lisesi Rölöve, Restitüsyon, Restorasyon, İnşaat Müh., Makine Müh., Elektrik Müh,. Zemin Etüdü Raporu ve Peyzaj Projelerinin Hazırlanması İşi.</t>
  </si>
  <si>
    <t>ŞİŞLİ</t>
  </si>
  <si>
    <t>İstanbul Üniversitesi Sergi Müze ve Araştırma Merkezi (Salis Medresesi) ile Mülazımlar Medresesi Restorasyonu İşi.</t>
  </si>
  <si>
    <t>Fatih İlçesi Ayasofya Müzesi Batı Cephesi Onarımı ve restorasyonu işi</t>
  </si>
  <si>
    <t>24.09.2015 12.10.2016</t>
  </si>
  <si>
    <t xml:space="preserve">Fatih Turhan Hatice valide sultan havatin cedid havatin türbelerinin resterasyon uygulama işi </t>
  </si>
  <si>
    <t>Beyoğlu İlçesi, 232 Pafta, 1175 Ada, 75 Parselde Bulunan Pir Hasan Hüsamettin Uşşaki Türbesine Ait Rölöve, Restitüsyon, Restorasyon, İnşaat Müh.,  Elektrik Müh., Makine Müh. Projeleri İle Zemin Ve Temel Etüt Raporu Hazırlanması İşi.</t>
  </si>
  <si>
    <t>BEYOĞLU</t>
  </si>
  <si>
    <t>Beşiktaş Anadolu Lisesi  Rölöve, Restitüsyon, Restorasyon, İnşaat Müh., Makine Müh., Elektrik Müh., Projeleri ile Zemin ve Temel Etüt Raporu Hazırlanması İşi.</t>
  </si>
  <si>
    <t>BEŞİKTAŞ</t>
  </si>
  <si>
    <t>Beyoğlu İlçesi 503 Ada 6 Parselde Yer Alan Hacı Piri cami, Tekkesi ve Çevre düzenlenmesi Restorasyon Uygulaması İşi.</t>
  </si>
  <si>
    <t>Ayasofya Ana Mekan İç Yüzeylerinin Acil Müdehale ve Proje Yapım İşleri.</t>
  </si>
  <si>
    <t>10.09.2016 20.03.2017
13.02.2020</t>
  </si>
  <si>
    <t>Nakşidil Valide Sultan Türbesi Restorasyon Projesi Uygulaması İşi</t>
  </si>
  <si>
    <t>03.01.2014   11.06.2016</t>
  </si>
  <si>
    <t xml:space="preserve">Üsküdar İlçesi, Kandilli Kız Anadolu Lisesi Alanındaki Eski Eser Su Deposunun  Rölöve, Restitüsyon, Restorasyon, İnşaat Müh., Makine Müh., Elektrik Müh., Projeleri  Hazırlanması İşi.   </t>
  </si>
  <si>
    <t>Fatih İlçesi 31 Ada 2 Parselde Yer Alan Tarihi Eser Statüsündeki Binanın (Yurtkur Binası) Restorasyon, İnşaat Müh., Makine Müh., Elektrik Müh., Projelerinin Hazırlanması İşi.</t>
  </si>
  <si>
    <t>Şişli İlçesi 279 Pafta, 2152 Ada 199 Parselde Yer Alan Darülaceze Tesisi Müessesesi Mülkiyetindeki Yapıların Rölöve, Restitüsyon, Restorasyon, İnşaat Müh., Makine Müh., Elektrik Müh., Projeleri ile Zemin ve Temel Etüt Raporu Hazırlanması İşi.</t>
  </si>
  <si>
    <t>Bakırköy İlçesi 375 Ada 2 Parselde Yer Alan Su Kulesinin Rölöve, Restitüsyon, Restorasyon, İnşaat Müh., Makine Müh., Elektrik Müh., Projelerinin Hazırlanması İşi.</t>
  </si>
  <si>
    <t>Süleymaniye Külliyesi Tabhanesi Güçlendirme Restorasyon ve Çevre Düzenlemesi İşi</t>
  </si>
  <si>
    <t>09.06.2016 05.12.2017</t>
  </si>
  <si>
    <t>Kocaragıp Paşa Kütüphanesi Müştemilat Yapıları , Türbe ve Çevre Duvarı Restorasyonu ile Çevre Düzenlemesi İşi</t>
  </si>
  <si>
    <t>Fatih İlçesi 37 Pafta 324 Ada 48 Parseldeki Büyük Reşit Paşa İ.Ö.O. Bahçesinde Yer Alan Eski Eserin Rölöve, Restitüsyon, Restorasyon, İnşaat Müh. Projelerinin Hazırlanması İşi</t>
  </si>
  <si>
    <t>Kartal İlçesi, 961 ada, 37 parselde yer alan Tarihi Yakacık Hamamının rölöve, restitüsyon, restorasyon, inşaat mühendisliği, makine mühendisliği, elektrik mühendisliği, projelerinin hazırlanması işi</t>
  </si>
  <si>
    <t>Yıldız Sarayı Musahipağalar Köşkünün Rölöve, Restitüsyon, Restorasyon Projelerinin Hazırlanması İşi</t>
  </si>
  <si>
    <t>( M.S.G.S.Ü. MİMAR SİNAN ARAŞTIRMA MERKEZİ) Tophane müze binası (138 pafta, 57 parselde yer alan İmalat-ı Harbiye Usta Mektebi) binası rekonstrüksiyon işi</t>
  </si>
  <si>
    <t>27.01.2013 14.05.2017 25.02.2018 10.08.2019</t>
  </si>
  <si>
    <t xml:space="preserve">İstanbulda Bulunan Muhtelif Saat Kuleleri ile Cephe Saatlerinin Tamirinin ve Bakımının  Yapılması işi </t>
  </si>
  <si>
    <t xml:space="preserve">Fatih İlçesi, 374 ada 3 parselde yer alan Hacı Beşirağa Medresesi restorasyonu işi </t>
  </si>
  <si>
    <t>05.07.2015 21.01.2017</t>
  </si>
  <si>
    <t xml:space="preserve">Fatih İlçesi, Ayasofya Müzesi Galeri Katı, Güneybatı Atrium iniş rampası, depolar acil müdahale ve proje yapım işi </t>
  </si>
  <si>
    <t>24.04.2016
15.01.2017
27.12.2017
15.06.2020</t>
  </si>
  <si>
    <t xml:space="preserve">Eyüp İlçesi 34 pafta 349 ada 12-42-50 parsellerdeki eski eser binaların rekonstrüksiyonu işi </t>
  </si>
  <si>
    <t>19.12.2015 31.12.2019 06.06.2021</t>
  </si>
  <si>
    <t>Üsküdar İlçesi, Murat Reis Mah. Çavuş Dere Caddesinde Bulunan 66 Pafta, 179 Ada, 1 Parselde Yer Alan Çinili Caminin Restorasyon Uygulaması İşi</t>
  </si>
  <si>
    <t>24.08.2016 02.01.2017 25.07.2017</t>
  </si>
  <si>
    <t>Fatih İlçesi, 78 Pafta, 121 Ada, 30-35-36-37-38-39-40 Parsellerdeki Sultanahmet Teknik ve End. Meslek Lisesi Binalarının Rölöve Restitüsyon, Restorasyon, Statik, Makine Mühendisliği, Elektrik Müh., Peyzaj Mimarlığı Hizmetleri, Zemin Etüt Projelerinin Hazırlanması İşi</t>
  </si>
  <si>
    <t>Ayasofya Müzesi Kuzey, Güney ve Doğu Cephesi Projeleri Yapılması İşi</t>
  </si>
  <si>
    <t>Sarıyer İlçesi, 95 Pafta, 538 Ada, 40 Parselde Bulunan Sarıyer Eğitim Araştırma Hastanesi Binalarının Rölöve, Restitüsyon, Restorasyon, İnş. Müh., Mak. Müh., Elektrik Müh. Projeleri ile Zemin ve Temel Etüt Raporu Hazırlanması İşi</t>
  </si>
  <si>
    <t xml:space="preserve">Kemalettin Eröge Polis Merkezi Restorasyonu İkmal ve Tamamlama İşi </t>
  </si>
  <si>
    <t>Eyüp Mihrişah Sultan  Sıbyan Mektebi Restorasyonu İşi</t>
  </si>
  <si>
    <t>Fatih İlçesi, 29 Mayıs İ.Ö.O Akşemseddin Kütüphanesi rölöve, restitüsyon, restorasyon, inş.müh., mak. müh., elektrik. müh. ile zemin ve temel etüdü projelerinin hazırlanması işi</t>
  </si>
  <si>
    <t>Arnavutköy İlçesi, Boğazköy Camii Restorasyon Uygulaması İkmal İşi</t>
  </si>
  <si>
    <t>İstanbul Valiliği,Kuzey Cephesi Çevre Duvarı Restorasyonu İşi</t>
  </si>
  <si>
    <t>Yıldız Teknik Üniversitesi Davutpaşa  Kampüsü, Davutpaşa Kışla Hamamı ve Kütüphanesi Restorasyonu Tamamlama İşi</t>
  </si>
  <si>
    <t>03.11.2018 27.03.2019</t>
  </si>
  <si>
    <t xml:space="preserve">Yıldız Sarayı Büyük Mabeyn Köşkü’nü Çevreleyen Çit Kasrı, Yaveran Köşkü, Set Köşkü ve Bağlantılı Yapıların Restorasyonu Çevre Düzenleme, Elektrik, Mekanik Entegrasyonu ve Müteferrik İşleri </t>
  </si>
  <si>
    <t>Fatih İlçesi, 86 pafta 122 ada 1 parseldeki Sokullu Tuba Kız Kuran Kursu Binasının rölövesi ile restitüsyon, restorasyon, statik, mekanik ve elektrik projelerinin hazırlanması işi</t>
  </si>
  <si>
    <t>Çatalca İlçesi, 160 ada 1 parsel Çatalca Kız Teknik ve Meslek Lisesi Restorasyon Uygulama İşi</t>
  </si>
  <si>
    <t>06.11.2019
14.12.2019</t>
  </si>
  <si>
    <t xml:space="preserve">Pendik Kurnaköy Camii Restorasyonu Uygulama İşi </t>
  </si>
  <si>
    <t xml:space="preserve">Yıldız Sarayı Arabacılar Dairesi Onarımı, Çevre Düzenleme Tamamlama, Elektrik Mekanik Sistemleri Entegrasyonu ve Müteferrik İşleri </t>
  </si>
  <si>
    <t>Eyüp İlçesi, Şeyh Murad Buhari Tekkesi Zemin Güçlendirme, Hazire ve Mescid Restorasyonu Tamamlama İşi</t>
  </si>
  <si>
    <t xml:space="preserve">Şahkulu Sultan Dergahı Uygulama İşi </t>
  </si>
  <si>
    <t xml:space="preserve">Silivri Mimar Sinan Köprüsü’nün 2019 Yılı Restorasyonu İşi </t>
  </si>
  <si>
    <t>Fatih İlçesi 1459 Ada 44 Parseldeki Kütüphane Yapısının Rölöve, Restitüsyon ve Restorasyon Projelerinin Hazırlanması İşi</t>
  </si>
  <si>
    <t xml:space="preserve">Siyavuşpaşa Mah., 23 pafta 4828 parselde bulunan Hamam Kalıntısı, Sarnıç Kalıntısı ve Çeşmenin  rölöve, restitüsyon ve restorasyon projelerinin hazırlanması işi </t>
  </si>
  <si>
    <t>Ayasofya Minarelerinin Koruma Projelerinin Hazırlanması İşi</t>
  </si>
  <si>
    <t xml:space="preserve">Beşiktaş Kaymakamlık Binası Cephe Temizliği ve Klimalarının Deplase edilmesi işi </t>
  </si>
  <si>
    <t>Büyükada Kaymakamlık Binasının Restorasyon Projesi Uygulama İşi</t>
  </si>
  <si>
    <t>ADALAR</t>
  </si>
  <si>
    <t>Şura-ı Devlet Binasının Rekonstrüksiyonu, Hariciye Nezareti (Mahalli İdareler) Binası'nın Restorasyonu ve Çevre Düzenlemesi İşi.</t>
  </si>
  <si>
    <t>Üsküdar İlçesi, 260 ada 9-12 Parsellerde Yer Alan Sokullu Mehmet Paşa İlkokulu Çatı Onarımı İşi.</t>
  </si>
  <si>
    <t>Gazi Atik Ali Paşa Medresesi Avlusunda Yemekhane ve Kütüphane Yapılması İşi</t>
  </si>
  <si>
    <t>Yeşildirek Polis Karakolu Restorasyonu İşi.</t>
  </si>
  <si>
    <t>Yıldız Sarayı Dış Karakol Binası Giriş Güvenlik Noktası Oluşturulması, Çevre Düzenlemesi ve Arabalık Binası Arka Cephesi Onarımı İşi.</t>
  </si>
  <si>
    <t>İl Kültür Binası Basit Bakım Onarım İşi</t>
  </si>
  <si>
    <t>Ayasofya-i Kebir Camii Şerifi İçerisinde Uygulama İşi</t>
  </si>
  <si>
    <t>ALİBAHADIR ÇOK AMAÇLI ETKİNLİK ALANI AYDINLATMA İŞİ</t>
  </si>
  <si>
    <t>19.02.2021 TARİHİNDE İŞ YERİ TESLİMİ YAPILDI</t>
  </si>
  <si>
    <t>KANUNİ SULTAN SÜLEYMAN SPOR PARKI PROJELERİ HAZIRLANMASI HİZMET ALIMI</t>
  </si>
  <si>
    <t>SÖZLEŞMESİ YAPILDI</t>
  </si>
  <si>
    <t>ÖĞÜMCE GEÇİCİ HAYVAN BAKIM EVİ YAPIM İŞİ</t>
  </si>
  <si>
    <t>BEYKOZ GENELİ KAMU BİNALARININ BAKIM, ONARIM İŞİ</t>
  </si>
  <si>
    <t>BEYKOZ İLÇE GENELİ MUHTELİF ÇEŞME RESTORASYONYAPIM İŞİ</t>
  </si>
  <si>
    <t>BEYKOZ GENELİ İDARE MALI ASFALT SERİMİ, SIKIŞTIRILMASI VE ONARIM İŞİ</t>
  </si>
  <si>
    <t>BEYKOZ 1 İNCİ BÖLGE MEVCUT CADDE ve SOKAKLARDA BAKIM ONARIM İŞİ</t>
  </si>
  <si>
    <t>BEYKOZ 2 İNCİ BÖLGE MEVCUT CADDE ve SOKAKLARDA BAKIM ONARIM İŞİ</t>
  </si>
  <si>
    <t>BEYKOZ İLÇESİ KELLE İBRAHİM CADDESİ PRESTİJ YOL YAPIM İŞİ</t>
  </si>
  <si>
    <t xml:space="preserve">  BEYKOZ BELEDİYE BAŞKANLIĞI</t>
  </si>
  <si>
    <t>ÇEKMEKÖY BELEDİYE BAŞKANLIĞI</t>
  </si>
  <si>
    <t>CAMİİ VE KURAN KURSU BAKIM ONARIMI YAPIM İŞİ</t>
  </si>
  <si>
    <t>OKULLARIN BAKIM VE ONARIMI</t>
  </si>
  <si>
    <t>GENEL GÖRSEL ARAÇLARIN BAKIMI VE ONARIMI İŞİ</t>
  </si>
  <si>
    <t>Yıllara sari iş olduğundan 2020 yılı ödemeleri yazılmamıştır.</t>
  </si>
  <si>
    <t>YAĞMURSUYU KANALI YAPIM İŞİ</t>
  </si>
  <si>
    <t>Yapım</t>
  </si>
  <si>
    <t>BORDÜR TRETUVAR BAKIM VE ONARIMI</t>
  </si>
  <si>
    <t>ÇAMLIK SOKAK KENTSEL TASARIM UYGULAMA YAPIM İŞİ</t>
  </si>
  <si>
    <t>Yıllara sari yapılan iş 13.03.2021 Tarihinde toplamda 4.980.159,14 TL ile yatırım tamamlanmıştır.</t>
  </si>
  <si>
    <t>ÖZEL EĞİTİM VE İŞ  UYGULAMA MERKEZİ İKMAL İNŞAATI YAPIM İŞİ</t>
  </si>
  <si>
    <t>KAPALI YÜZME HAVUZU YAPIM İŞİ</t>
  </si>
  <si>
    <t>2021 YILI ASFALT KAPLAMA İŞİ</t>
  </si>
  <si>
    <t>ÖMERLİ SPORCU KAMP EĞİTİM MERKEZİ(3106,30 M² BETONARME KARKAS İNŞAAT YAPIM İŞİ)</t>
  </si>
  <si>
    <t xml:space="preserve">Yıllara sari iş olduğundan 2021 yılı için %50, 2022 yılı için %50 olarak ödemeleri sözleşme gereği pay edilmiştir. </t>
  </si>
  <si>
    <t>BORDÜR VE TRETUVAR, PRESTİJ YOL YAPIM İŞİ</t>
  </si>
  <si>
    <t>2021 YILI ÇEKMEKÖY İLÇESİ GENELİ PARK, REFÜJ VE YEŞİL ALANLARIN  YENİLENMESİ, ONARIMI  VE MUHTELİF ALANLARDA PARK YAPIM İŞİ.</t>
  </si>
  <si>
    <t>YAPIM</t>
  </si>
  <si>
    <t>1. SINIF ATIK GETİRME MERKEZİ  YAPILMASI İŞİ</t>
  </si>
  <si>
    <t>ÜMRANİYE GENELİ MUHTELİF YERLERDE İHATA VE İSTİNAT DUVARI YAPIMI</t>
  </si>
  <si>
    <t>ÜSTYAPI</t>
  </si>
  <si>
    <t>ÜMRANİYE GENELİ HİZMET BİNALARI TADİLAT YAPIM İŞİ</t>
  </si>
  <si>
    <t>ÜMRANİYE GENELİ KORKULUK VE MUHTELİF DEMİR İŞLERİ YAPIM İŞİ</t>
  </si>
  <si>
    <t>ÜMRANİYE GENELİ TRETUVAR, ASFALT KAPLAMA VE MUHTELİF İNŞAAT İŞLERİ YAPIM İŞİ</t>
  </si>
  <si>
    <t>ÜMRANİYE GENELİ MUHTELİF YERLERDE PARK REVİZYONU VE PARK YAPIM İŞİ</t>
  </si>
  <si>
    <t>ÜMRANİYE GENELİ MUHTELİF PARKLARDA KULLANILMAK ÜZERE GÜVENLİK KAMERA SİSTEMİ</t>
  </si>
  <si>
    <t>GÜVENLİK</t>
  </si>
  <si>
    <t xml:space="preserve">ÜMRANİYE İLÇE SINIRLARI İÇERİSİNDE 2.GRUP ÇEVRE DÜZENLEMESİ VE TADİLAT YAPIM İŞİ </t>
  </si>
  <si>
    <t xml:space="preserve"> ÜMRANİYE BELEDİYE BAŞKANLIĞI </t>
  </si>
  <si>
    <t>ÜMRANİYE BELEDİYE BAŞKANLIĞI</t>
  </si>
  <si>
    <t>2021 İLÇE GENELİNDE BAKIM, ONARIM VE MUHTELİF İŞLER YAPILMASI İŞİ</t>
  </si>
  <si>
    <t xml:space="preserve"> BAYRAMPAŞA BELEDİYE BAŞKANLIĞI</t>
  </si>
  <si>
    <t>Eyüpsultan İlçesi Genelinde Yeni Parkların yapılması Mavcut Parkların Revizyonu Yapılması İşi</t>
  </si>
  <si>
    <t>Bakım,Onarım,İnşaat</t>
  </si>
  <si>
    <t>Devam Ediyor</t>
  </si>
  <si>
    <t>Nişancı Mahallesi Kentsel Yenileme Avan Proje Müşavirlik ve Danışmanlık Hizmetleri Alım  İşi</t>
  </si>
  <si>
    <t>Etüd Proje ve Danışmanlık</t>
  </si>
  <si>
    <t>İstanbul 1 Numaralı Kentsel Yenileme Bölge Kurulu Müdürlüğü/
İstanbul Büyükşehir Belediyesi</t>
  </si>
  <si>
    <t xml:space="preserve">Proje Kurul tarafından onaylandı.
Proje İstanbul Büyükşehir Belediyesi İmar ve Şehircilik Daire Başkanlığına gönderildi. </t>
  </si>
  <si>
    <t>İstanbul İli Eyüpsultan İlçesi Sınırlarını Kapsayan Alanda Kentsel Dönüşüm Strateji Belgesi Hazırlanması Hizmet Alımı İşi</t>
  </si>
  <si>
    <t>Fizibilite Etüdü</t>
  </si>
  <si>
    <t>Çevre Şehircilik Bakanlığı</t>
  </si>
  <si>
    <t>Kentsel Dönüşüm Strateji Belgesi hazırlandı.  Çevre Şehircilik Bakanlığına gönderilecek.</t>
  </si>
  <si>
    <t>Eyüpsultan Alibeyköy Mah. 24 Ada 1, 2 ve 3 Parsellerdeki Hatice Sultan Mescidi’nin Rölöve, Restitüsyon, Restorasyon Projeleri Zemin Etüdü, Statik, Tesisat, Projeleri Yapım İşi</t>
  </si>
  <si>
    <t>İl Özel İdaresi, İstanbul 1 Numaralı Kültür Varlıklarını Koruma Bölge Kurulu Müdürlüğü</t>
  </si>
  <si>
    <t>Eyüpsultan, Merkez Mah., 203 Ada, 1 Parsel  Tarihi Karakol Binası  Restitüsyon, Restorasyon Uygulama İşi</t>
  </si>
  <si>
    <t>Tasfiye edildi.</t>
  </si>
  <si>
    <t xml:space="preserve">Eyüpsultan, 72 Ada 1 Parsel, 219 Ada 11 Parsel , 351 Ada 4 Parsel, 163 Ada 2 Parsel, 111 Ada 16 Parsel, 292 Ada 1 Parsel, 38  Ada 22 Parseldeki 7 Çeşmenin Rölöve, Restitüsyon ve Restorasyon Projelerinin Yapılması  </t>
  </si>
  <si>
    <t>İstanbul 1 Numaralı Kültür Varlıklarını Koruma Bölge Kurulu Müdürlüğü</t>
  </si>
  <si>
    <t>Kuruldan onaylandı.</t>
  </si>
  <si>
    <t>Kemerburgaz 435 Ada, 4 Parsel Kitap Kafe Uygulama</t>
  </si>
  <si>
    <t>İl Özel İdaresi</t>
  </si>
  <si>
    <t>İl Özel İdaresi'nden ödenek bekleniyor.</t>
  </si>
  <si>
    <t>52 ada 58 ve 74 parsel Caferpaşa Medresesi, Caferpasa Türbe ve Haziresi ve Caferpaşa Külliyesi Projelerinin Yapımı Hizmet Alımı İşi</t>
  </si>
  <si>
    <t>İstanbul Vakıflar 1. Bölge Müdürlüğü, İstanbul 1 Numaralı Kültür Varlıklarını Koruma Bölge Kurulu Müdürlüğü</t>
  </si>
  <si>
    <t>Kurul onayı aşamasındadır.</t>
  </si>
  <si>
    <t>Eyüpsultan İlçesi, Göktürk Merkez Mahallesi, 0 Ada 326 Parselde Kültür Merkezi Avan ve Uygulama Mimari Projelerinin Hazırlanması Danışmanlık Hizmet Alımı İşi</t>
  </si>
  <si>
    <t>İhale aşamasındadır. Yaklaşık maliyet yazılmıştır.</t>
  </si>
  <si>
    <t xml:space="preserve">Eyüpsultan İlçesi, Nişancı Mahallesi, 19 Pafta, 65 Ada, 24 Parselde Müze İç Mimari, Tadilat, Elektrik, Mekanik Projeleri ile Parsel İçerisinde Ek Yapı Projesinin Mimari, İç Mimari, Statik, Elektrik, Mekanik Tesisat Projelerinin ve Keşif Metrajının Hazırlanması Danışmanlık Hizmet Alımı İşi </t>
  </si>
  <si>
    <t>Eyüpsultan İlçesi, Yeşilpınar Mahallesi, 500 Ada, 11 Parsel Yanı Yeşil Alanda Semt Konağı (Gençlik Merkezi) Mühendislik (Statik, Elektrik, Mekanik) Uygulama Projeleri Hizmet Alımı İşi</t>
  </si>
  <si>
    <t>Eyüpsultan İlçesi, Nişancı Mahallesi, 65 Ada, 63 Parsel Sosyal Kültürel Tesis Projesi Hizmet Alımı İşi</t>
  </si>
  <si>
    <t>Başlamadı.</t>
  </si>
  <si>
    <t>İhale aşaması başlamamış olup, tahmini proje tutarı ve proje adı yazılmıştır.</t>
  </si>
  <si>
    <t>Eyüpsultan İlçesi, Nişancı Mahallesi, 66 Ada, 36 Parsel Çocuk ve Oyuncak Müzesi Projesi Hizmet Alımı İşi</t>
  </si>
  <si>
    <t>EYÜPSULTAN İLÇE GENELİ 2 ADET HAVUZ YAPIM İŞİ</t>
  </si>
  <si>
    <t>SPOR TESİSLERİ VE SAHALARI YAPIMI İŞİ</t>
  </si>
  <si>
    <t xml:space="preserve">EYÜP CAMİ VE ÇEVRESİ CEPHE REHABİLİTASYONU UYGULUAMA İŞİ </t>
  </si>
  <si>
    <t>İller Bankası</t>
  </si>
  <si>
    <t>Proje bedeli iller bankası tarafından hibe edilmiştir.</t>
  </si>
  <si>
    <t>2021 YILI EYÜPSULTAN İLÇE GENELİ YENİ YOL AÇILMASI ASFALT TEMİNİ NAKLİ VE KAPLAMA YAPILMASI İŞİ</t>
  </si>
  <si>
    <t>İLÇE GENELİNDE DUVAR YAPIM İŞİ</t>
  </si>
  <si>
    <t>İLÇE GENELİNDE YOL VE DUVAR BAKIM VE ONARIM İŞİ</t>
  </si>
  <si>
    <t>EYÜPSULTAN BELEDİYE BAŞKANLIĞI</t>
  </si>
  <si>
    <t>Bakım-Onarım Makine-Teçhizat Yazılım-Donanım</t>
  </si>
  <si>
    <t xml:space="preserve">  EYÜPSULTAN BELEDİYE BAŞKANLIĞI</t>
  </si>
  <si>
    <t>BAHÇELİEVLER BELEDİYE BAŞKANLIĞI</t>
  </si>
  <si>
    <t>YENİBOSNA BÖLGESİ  İDARE MALI BETON PARKE, BORDÜR İLE YOL YAPIM İŞİ</t>
  </si>
  <si>
    <t>ONARIM</t>
  </si>
  <si>
    <t>BELEDİYE HİZMET BİNALARI VE SPOR TESİSİLERİNİN ONARIMI İŞİ</t>
  </si>
  <si>
    <t>BAHÇELİEVLER GENELİNDE ASFALT KAPLAMA YAPILMASI İŞİ</t>
  </si>
  <si>
    <t>BAHÇELİEVLER BELEDİYESİ AŞEVİ İNŞAATI İŞİ</t>
  </si>
  <si>
    <t>BAHÇELİEVLER VE KOCASİNAN BÖLGESİ SOKAKLARDA İDARE MALI BETON PARKE, BORDÜR İLE YOL ONARIM İŞİ</t>
  </si>
  <si>
    <t>BAHÇELİEVLER,SİYAVUŞPAŞA MAHALLERİNDE İDARE MALI BETON PARKE, BORDÜR İLE YOL ONARIM İŞİ</t>
  </si>
  <si>
    <t>SOĞANLI, CUMHURİYET MAHALLELERİNDE İDARE MALI BETON PARKE, BORDÜR İLE YOL ONARIM İŞİ</t>
  </si>
  <si>
    <t>ŞİRİNEVLER, KOCASİNAN MAHALLERİNDE İDARE MALI BETON PARKE, BORDÜR İLE YOL ONARIM İŞİ</t>
  </si>
  <si>
    <t>ZAFER, HÜRRİYET MAHALLERİNDE İDARE MALI BETON PARKE, BORDÜR İLE YOL ONARIM İŞİ</t>
  </si>
  <si>
    <t>YENİBOSNA, ÇOBANÇEŞME, FEVZİÇAKMAK MAHALLERİNDE İDARE MALI BETON PARKE, BORDÜR İLE YOL ONARIM İŞİ</t>
  </si>
  <si>
    <t>BAHÇELİEVLER BELEDİYESİ KULELİ SOSYAL TESİS İNŞAATI İŞİ</t>
  </si>
  <si>
    <t>SİYAVUŞPAŞA MAHALLESİ CADDE VE SOKAKLARDA  İDARE MALI BETON PARKE, BORDÜR İLE YOL YAPIM İŞİ</t>
  </si>
  <si>
    <t>YAYA KALDIRIMLARINDA ÇEŞİTLİ DEMİR İŞLERİ YAPILMASI</t>
  </si>
  <si>
    <t>BAHÇELİEVLER İLÇESİNDE PARK YAPIMI İLE MEVCUT PARK VE YEŞİL LANLARIN YAPIM İŞLERİ</t>
  </si>
  <si>
    <t>Anafartalar Ortaokulu</t>
  </si>
  <si>
    <t>GÜÇLENDİRME ONARIM</t>
  </si>
  <si>
    <t>Halis Kutmangil İlkokulu-Ortaokulu</t>
  </si>
  <si>
    <t>Karaburun Orfi Çetinkaya İlkokulu</t>
  </si>
  <si>
    <t xml:space="preserve">Tolga Eti İlkokulu </t>
  </si>
  <si>
    <t xml:space="preserve">Borusan Asım Kocabıyık Mesleki ve Teknik Anadolu Lisesi </t>
  </si>
  <si>
    <t>Namık Kemal İlkokulu</t>
  </si>
  <si>
    <t>Hasan Sabriye Gümüş Anadolu Lisesi</t>
  </si>
  <si>
    <t>Nurullah Baldöktü İlkokulu</t>
  </si>
  <si>
    <t>Atatürk Ortaokulu</t>
  </si>
  <si>
    <t>Borusan Oto Nurhan Zehra Kocabıyık Ortaokulu</t>
  </si>
  <si>
    <t>Mareşal Fevzi Çakmak İlkokulu</t>
  </si>
  <si>
    <t>Saide Zorlu Mesleki ve Teknik Anadolu Lisesi</t>
  </si>
  <si>
    <t xml:space="preserve">Haydar Akın Mesleki ve Teknik Anadolu Lisesi </t>
  </si>
  <si>
    <t>Cahit Zarifoğlu İlkokulu</t>
  </si>
  <si>
    <t>Esenkent Atatürk İlkokulu</t>
  </si>
  <si>
    <t>Esenyurt Ortaokulu</t>
  </si>
  <si>
    <t>Örnek İlkokulu</t>
  </si>
  <si>
    <t>Cumhuriyet İlkokulu</t>
  </si>
  <si>
    <t>Bağcılar</t>
  </si>
  <si>
    <t>Dede Korkut İlkokulu</t>
  </si>
  <si>
    <t>75. Yıl Ortaokulu</t>
  </si>
  <si>
    <t>Güngören</t>
  </si>
  <si>
    <t>Fatih İlkokulu</t>
  </si>
  <si>
    <t>Kocatepe İlkokulu</t>
  </si>
  <si>
    <t>Bayrampaşa</t>
  </si>
  <si>
    <t>Esenler Mesleki Eğitim Merkezi</t>
  </si>
  <si>
    <t>Esenler</t>
  </si>
  <si>
    <t>Türk İsveç Kardeşlik İlkokulu</t>
  </si>
  <si>
    <t>Ata Ortaokulu</t>
  </si>
  <si>
    <t>Bağlar Ortaokulu</t>
  </si>
  <si>
    <t>Şehit Mahir Ayabak İmam Hatip Ortaokulu</t>
  </si>
  <si>
    <t>Hasan Polatkan Anadolu Lisesi</t>
  </si>
  <si>
    <t>Murat Kölük İlkokulu</t>
  </si>
  <si>
    <t>Büyük Halkalı İlkokulu</t>
  </si>
  <si>
    <t xml:space="preserve">Nahit Menteşe Mesleki ve Teknik Anadolu Lisesi </t>
  </si>
  <si>
    <t>Penyelüks Hasan Gürel İlkokulu</t>
  </si>
  <si>
    <t>Şehit Binbaşı Bedir Karabıyık İlkokulu</t>
  </si>
  <si>
    <t>Kadri Yörükoğlu İlkokulu</t>
  </si>
  <si>
    <t>Karlıtepe İlkokulu</t>
  </si>
  <si>
    <t>Cemil Meriç İlkokulu</t>
  </si>
  <si>
    <t xml:space="preserve">Kağıthane </t>
  </si>
  <si>
    <t>Balahatun İlkokulu</t>
  </si>
  <si>
    <t>TEV Celalettin Buluğ İlkokulu</t>
  </si>
  <si>
    <t xml:space="preserve">Türkan Şoray İlkokulu </t>
  </si>
  <si>
    <t>Şehit Mehmet Karaaslan Uluslararası Kız Anadolu İmam Hatip Lisesi</t>
  </si>
  <si>
    <t>İncirlibahçe Ortaokulu</t>
  </si>
  <si>
    <t>Şiir Mektebi Ortaokulu</t>
  </si>
  <si>
    <t>Davutpaşa Anadolu Lisesi</t>
  </si>
  <si>
    <t>Beykoz Mesleki Eğitim Merkezi</t>
  </si>
  <si>
    <t>Soğuksu İlkokulu</t>
  </si>
  <si>
    <t>Türker İnanoğlu İlkokulu ve Ortaokulu</t>
  </si>
  <si>
    <t>Halk Eğitim Merkezi ve Mesleki Eğitim Binası</t>
  </si>
  <si>
    <t>İnkilap İlkokulu</t>
  </si>
  <si>
    <t>Ümraniye</t>
  </si>
  <si>
    <t xml:space="preserve">Şehit Askeri Çoban İlkokulu </t>
  </si>
  <si>
    <t>Ayşe Çarmıklı İlkokulu</t>
  </si>
  <si>
    <t>Sancaktepe</t>
  </si>
  <si>
    <t>Büyükada Şehit Murat Yüksel İlkokulu</t>
  </si>
  <si>
    <t xml:space="preserve">Adalar </t>
  </si>
  <si>
    <t>Kınalıada Mehmetçik  İlkokulu</t>
  </si>
  <si>
    <t>Adalar</t>
  </si>
  <si>
    <t>Kartal Atatürk İlkokulu</t>
  </si>
  <si>
    <t>Kartal</t>
  </si>
  <si>
    <t>Celal Avşar Ortaokulu</t>
  </si>
  <si>
    <t>Maltepe</t>
  </si>
  <si>
    <t>Şehit İlhan Varank Fen Lisesi Yurt Binası</t>
  </si>
  <si>
    <t>Farabi İlkokulu</t>
  </si>
  <si>
    <t>Tuzla</t>
  </si>
  <si>
    <t>Remzi Bayraktar Mesleki ve Teknik Anadolu Lisesi</t>
  </si>
  <si>
    <t>Ataşehir</t>
  </si>
  <si>
    <t>Ulubatlı Hasan Mesleki Eğitim Merkezi</t>
  </si>
  <si>
    <t>Hayriye-Kemal Kusun Özel Eğitim Uygulama Merkezi ve İş Uygulama Merkezi</t>
  </si>
  <si>
    <t>Kadıköy</t>
  </si>
  <si>
    <t xml:space="preserve">İhsan Sungu İlkokulu </t>
  </si>
  <si>
    <t>Öğretmen Harun Reşit İlkokulu</t>
  </si>
  <si>
    <t>Saffet Çebi Ortaokulu</t>
  </si>
  <si>
    <t>Şehit Türkmen Tekin Anadolu İmam Hatip Lisesi</t>
  </si>
  <si>
    <t>Kırımlı Aslanbey İlkokulu</t>
  </si>
  <si>
    <t xml:space="preserve">İstiklal İlkokulu </t>
  </si>
  <si>
    <t>Sultangazi</t>
  </si>
  <si>
    <t>İstiklal Ortaokulu</t>
  </si>
  <si>
    <t>75.Yıl Cumhuriyet İlkokulu/Ortaokulu</t>
  </si>
  <si>
    <t>Kartal Anadolu Lisesi</t>
  </si>
  <si>
    <t>Mehmet Akif Ersoy Ortaokulu</t>
  </si>
  <si>
    <t xml:space="preserve">Pendik </t>
  </si>
  <si>
    <t>Yunus Emre Ortaokulu</t>
  </si>
  <si>
    <t>Sultanbeyli</t>
  </si>
  <si>
    <t>Akşemsettin İlkokulu</t>
  </si>
  <si>
    <t>YIKIM VE YENİDEN YAPIM</t>
  </si>
  <si>
    <t xml:space="preserve">Küçükköy Teknik Endüstri Meslek Lisesi </t>
  </si>
  <si>
    <t>Alparslan İÖO</t>
  </si>
  <si>
    <t xml:space="preserve">Sarıyer </t>
  </si>
  <si>
    <t xml:space="preserve">Murat Beyaz İlkokulu-İlçe Milli Eğitim Müdürlüğü </t>
  </si>
  <si>
    <t>Erenköy Kız Anadolu Lisesi</t>
  </si>
  <si>
    <t>Ali Kuşçu İlkokulu ve Ortaokulu</t>
  </si>
  <si>
    <t>Rotary Vakfı İşitme Engelliler İlkokulu ve Ortaokulu</t>
  </si>
  <si>
    <t>Şehit Öğretmen Hüseyin Aydemir İlkokulu-Ortaokulu</t>
  </si>
  <si>
    <t>Kocamustafapaşa Anadolu İmam Hatip Lisesi</t>
  </si>
  <si>
    <t>Lütfi Erçin Ortaokulu</t>
  </si>
  <si>
    <t>Bostancı İlkokulu</t>
  </si>
  <si>
    <t>Eyüp Sultan Ortaokulu</t>
  </si>
  <si>
    <t>EyüpSultan</t>
  </si>
  <si>
    <t>Günebakan İlköğretim Okulu</t>
  </si>
  <si>
    <t>Kağıthane</t>
  </si>
  <si>
    <t>R. Güney Kıldıran İlkokulu</t>
  </si>
  <si>
    <t>Fatma Süslügil İlkokulu-Ayhan Şahenk Ortaokulu</t>
  </si>
  <si>
    <t xml:space="preserve">Zeytinburnu </t>
  </si>
  <si>
    <t>Mahmut Şevket Zırh İlkokulu</t>
  </si>
  <si>
    <t>YIKIM VE YENİDEN YAPIM İKMAL İNŞAATI</t>
  </si>
  <si>
    <t>Reşat Tardu İlköğretim Okulu</t>
  </si>
  <si>
    <t>Zeytinburnu</t>
  </si>
  <si>
    <t>Sümer İlköğretim Okulu‐Eski Bina</t>
  </si>
  <si>
    <t>Küplüce İlkokulu</t>
  </si>
  <si>
    <t>Dilaver Cebeci İlkokulu</t>
  </si>
  <si>
    <t>Eyüp İHL – Okul Blokları - Kütüphane</t>
  </si>
  <si>
    <t>Hattat Rakım Ortaokulu</t>
  </si>
  <si>
    <t>Eram Fatih Özel Eğitim Meslek Okulu</t>
  </si>
  <si>
    <t>Yavuz Selim Ortaokulu</t>
  </si>
  <si>
    <t>Ali Yalkın Ortaokulu</t>
  </si>
  <si>
    <t>Hamiyet Gerçek İlkokulu</t>
  </si>
  <si>
    <t>Zincirlikuyu İSOV MTAL</t>
  </si>
  <si>
    <t>Beyoğlu İmam Hatip Lisesi</t>
  </si>
  <si>
    <t>Seyrantepe İlkokulu</t>
  </si>
  <si>
    <t>Şehit Bnb. Bedir Karabıyık ÇPAL</t>
  </si>
  <si>
    <t>Tahsin Banguoğlu İlkokulu</t>
  </si>
  <si>
    <t>Şehit Mustafa Canbaz İlkokulu</t>
  </si>
  <si>
    <t xml:space="preserve">Atatürk İlköğretim Okulu </t>
  </si>
  <si>
    <t>Fahrettin Özüdoğru Çok Programlı Anadolu Lisesi</t>
  </si>
  <si>
    <t>Hüviyet Bekir İlkokulu</t>
  </si>
  <si>
    <t>Mehmet İhsan Mermerci Mesleki ve Teknik Anadolu Lisesi</t>
  </si>
  <si>
    <t>Şehit Büyükelçi Galip Balkar Mesleki ve Teknik Anadolu Lisesi</t>
  </si>
  <si>
    <t>Zeytinburnu Mesleki ve Teknik Anadolu Lisesi</t>
  </si>
  <si>
    <t>Hüseyin Aycibin İlkokulu</t>
  </si>
  <si>
    <t>Levent Natuk Birkan Halk Eğitim Merkezi</t>
  </si>
  <si>
    <t>Mahmut Erseven İlkokulu</t>
  </si>
  <si>
    <t>Dikilitaş Mehmetçik İmam Hatip Ortaokulu</t>
  </si>
  <si>
    <t>Yunus Emre İlkokulu</t>
  </si>
  <si>
    <t xml:space="preserve">Eyüpsultan </t>
  </si>
  <si>
    <t xml:space="preserve">Haydar Akçelik Mesleki ve Teknik Anadolu Lisesi </t>
  </si>
  <si>
    <t>Esenler Menderes Anadolu Lisesi</t>
  </si>
  <si>
    <t xml:space="preserve"> Esenler</t>
  </si>
  <si>
    <t>Osman Tevfik Yalman Ortaokulu</t>
  </si>
  <si>
    <t xml:space="preserve"> Kağıthane</t>
  </si>
  <si>
    <t>Şişli Kaymakamlık Binası</t>
  </si>
  <si>
    <t>Çekmeköy Kaymakamlık Binası</t>
  </si>
  <si>
    <t>Ümraniye Kaymakamlık Binası</t>
  </si>
  <si>
    <t>Diğer Kamu Hizmetleri</t>
  </si>
  <si>
    <t>BEŞİKTAŞ İLÇESİ GENELİNDE DEVLET OKULLARININ VE 5393 SAYILI KANUNDA BELİRTİLEN BİNALARININ TADİLATININ YAPILMASI İŞİ</t>
  </si>
  <si>
    <t xml:space="preserve"> -</t>
  </si>
  <si>
    <t xml:space="preserve"> BEŞİKTAŞ BELEDİYE BAŞKANLIĞI</t>
  </si>
  <si>
    <t>Ataşehir Belediyesi İnal Aydınoğlu Kültür Merkezi Yapım İşi</t>
  </si>
  <si>
    <t xml:space="preserve">2017-2019 Yılları Ataşehir İlçesi Genelinde Yol Düzenlemeleri İle Bakım Onarımlarının Yapılması İşi </t>
  </si>
  <si>
    <t>Ataşehir Belediyesi Gündüz Bakımevi Yapım İşi</t>
  </si>
  <si>
    <t>2021-2022 Yıllarında Hizmet Binalarımız ve Tesislerimizin Bakım Onarımlarının Yapılması İşi</t>
  </si>
  <si>
    <t xml:space="preserve"> ATAŞEHİR BELEDİYE BAŞKANLIĞI</t>
  </si>
  <si>
    <t>Makine Teçhizat Bakım Onarımı</t>
  </si>
  <si>
    <t>0.-</t>
  </si>
  <si>
    <t>MUHTELİF İŞLER PROJESİ</t>
  </si>
  <si>
    <t xml:space="preserve">Bakım Onarım , Bilgi ve İletişim Teknolojileri , Kesin Hesap , Makine-Teçhizat
</t>
  </si>
  <si>
    <t>Basılı Yayın Alımı , Elektronik Yayın Alımı</t>
  </si>
  <si>
    <t xml:space="preserve">TARİHİ SANCAK KÖŞKÜ RESTORASYONU </t>
  </si>
  <si>
    <t>DAVUTPAŞA KAMPÜSÜ MİSAFİRHANE BİNASI RESTORASYONU</t>
  </si>
  <si>
    <t>TARİHİ SU SARNICININ RESTORASYONU</t>
  </si>
  <si>
    <t>BÜYÜK ONARIM PROJESİ</t>
  </si>
  <si>
    <t>Büyük Onarım</t>
  </si>
  <si>
    <t>ÇEŞİTLİ ÜNİTELERİN ETÜT PROJESİ</t>
  </si>
  <si>
    <t>KAMPÜS ALTYAPISI PROJESİ</t>
  </si>
  <si>
    <t>Doğalgaz Dönüşümü , Elektrik hattı , Kampüs İçi Yol , Kanalizasyon hattı , Peyzaj , Su isale hattı , Telefon hattı</t>
  </si>
  <si>
    <t>DERSLİK VE MERKEZİ BİRİMLER PROJESİ (KÜTÜPHANE)</t>
  </si>
  <si>
    <t>Kütüphane (18.000 m²)</t>
  </si>
  <si>
    <t>HİDRODİNAMİK ARAŞTIRMA LABORATUVARI</t>
  </si>
  <si>
    <t>Büyük Onarım , Makine Teçhizat Bakım Onarımı , Makine-Teçhizat , Teknolojik Araştırma</t>
  </si>
  <si>
    <t>MUHTELİF SOKAKLARDA ASFALT YAPIM İŞİ</t>
  </si>
  <si>
    <t>BELEDİYE HİZMET BİNALARINDA TADİLAT YAPILMASI YAPIM İŞİ</t>
  </si>
  <si>
    <t>BORDÜR,TRETUVAR YAPIMI</t>
  </si>
  <si>
    <t>ASFALT SERİLMESİ</t>
  </si>
  <si>
    <t>HİZMET BİNASI YAPIMI</t>
  </si>
  <si>
    <t>YAĞMURSUYU KANALI</t>
  </si>
  <si>
    <t xml:space="preserve"> ESENLER BELEDİYE BAŞKANLIĞI</t>
  </si>
  <si>
    <t>MALTEPE BELEDİYE BAŞKANLIĞI</t>
  </si>
  <si>
    <t>3426 PARSEL TEVFİKBEY MAH. YERALTI OTOPARKI VE AÇIK PAZAR YERİ YAPIM İŞİ</t>
  </si>
  <si>
    <t>YEŞİLOVA MAH. KEMAL AKTAŞ STADI BİNA VE TRİBÜN YAPIMI</t>
  </si>
  <si>
    <t>İLÇE GENELİ İNŞAAT İŞLERİ</t>
  </si>
  <si>
    <t>YENİ MAHALLE, CENNET, CUMHURİYET, FATİH MAH. CADDE VE SOKAKLARDA BORDÜR TRETUVAR VE MUH. YOLLARIN BAKIM ONARIMI VE YENİLEME YAPIM İŞİ</t>
  </si>
  <si>
    <t>BÖLGE GENELİ GEOMETRİK YOLLARIN BAKIM ONARIM VE YENBİLENMESİ İŞİ</t>
  </si>
  <si>
    <t>HALKALI MERK. , İNÖNÜ, TEVFİKBEY, KARTALTEPE MAH. CADDE VE SOKAKLARDA BORDÜR TRETUVAR VE MUH. YOLLARIN BAKIM ONARIMI VE YENİLEME YAPIM İŞİ</t>
  </si>
  <si>
    <t>SOSYAL TESİS YAPIM BAKIM ONARIM VE MUHTELİF ÜST YAPI İŞLERİ YAPIM İŞİ</t>
  </si>
  <si>
    <t>KAMU BİNALARI BAKIM ONARIM VE YENİLEME YAPIM İŞİ</t>
  </si>
  <si>
    <t>BEŞYOL, KEMALPAŞA, GÜLTEPE, S.MURAT, F.ÇAKMAK VE YEŞİLOVA MAH. CAD. VE SOK. BORDÜR TRETUVAR VE MUH. YOLLARIN BAKIM ONARIMI VE YENİLENMESİ İŞİ</t>
  </si>
  <si>
    <t xml:space="preserve">KANARYA, S.ÇEŞME, İSTASYON, Y.BURGAZ MAH. BULUNAN  CAD. VE SOK. BORDÜR TRETUVAR VE MUH. YOLLARIN BAKIM ONARIMI VE YENİLENMESİ İŞİ </t>
  </si>
  <si>
    <t>M.AKİF, ATATÜRK,  ATAKENT MAH. BULUNAN CAD. VE SOK. BORDÜR TRETUVAR VE MUH. YOLLARIN BAKIM ONARIM YENİLEME YAPIM İŞİ</t>
  </si>
  <si>
    <t>BARİYER KAYAR KAPI VE MANUEL TUZAKLARIN YEDEK PARÇA TEMİNİ VE YILLIK PERİYODİK BAKIM ONARIM İŞİ</t>
  </si>
  <si>
    <t>KÜÇÜKÇEKMECE HUDUTLARI DAHİLİNDE BACA VE YAĞMURSUYU IZGARA YÜKSELTİLMESİ YAPIM İŞİ</t>
  </si>
  <si>
    <t>YEŞİLOVA MH. 425 ADA 20 PARSEL MUHTARLIK HİZMET BİNASI VE AİLE SAĞLIK OCAĞI MERKEZİ İLE CUMHURİYET MH. HUZUREVİ İNŞAATI YAPIM İŞİ</t>
  </si>
  <si>
    <t>154 ADA 13 PARSEL KÜLTÜR MERKEZİ İNŞAATI TAMAMLAMA İŞİ</t>
  </si>
  <si>
    <t>MUHTELİF İNŞAAT İŞLERİ YAPIM İŞİ</t>
  </si>
  <si>
    <t>KAMU BİNALARI BAKIM ONARIM YAPIM İŞİ</t>
  </si>
  <si>
    <t>BÖLGE GENELİNDEKİ ANA VE TALİ YOLLARDA ASFALT KAPLAMA VE YAMA YAPILMASI İŞİ</t>
  </si>
  <si>
    <t>YENİMAHALLE , FATİH, CENNET VE YEŞİLOVA MAHALLEKLERİ BORDÜR TRETUVAR YAPIM BAKIM VE ONARIM İŞLERİ YAPILMASI YAPIM İŞİ</t>
  </si>
  <si>
    <t>KARTALTEPE VE TEVFİKBE  MAHALLEKLERİ BORDÜR TRETUVAR YAPIM BAKIM VE ONARIM İŞLERİ YAPILMASI YAPIM İŞİ</t>
  </si>
  <si>
    <t>İNÖNÜ, BEŞYOL, FEVZİÇAKMAK MAHALLELERİNDE BORDÜR TRETUVAR YAPIM BAKIM VE ONARIM İŞLERİ YAPILMASI YAPIM İŞİ</t>
  </si>
  <si>
    <t>CUMHURİYET, KEMALPAŞA, SULTANMURAT VE GÜLTEPE MAHALLELERİNDE BORDÜR TRETUVAR YAPIM BAKIM VE ONARIM İŞLERİ YAPILMASI YAPIM İŞİ</t>
  </si>
  <si>
    <t>SÖĞÜTLÜÇEŞME VE KANARYA MAHALLELERİNDE BORDÜR TRETUVAR YAPIM BAKIM VE ONARIM İŞLERİ YAPILMASI YAPIM İŞİ</t>
  </si>
  <si>
    <t>ATATÜRK, MEHMETAKİF VE ATAKENT MAHALLELERİNDE BORDÜR TRETUVAR YAPIM BAKIM VE ONARIM İŞLERİ YAPILMASI YAPIM İŞİ</t>
  </si>
  <si>
    <t>BELEDİYE HİZ. BİNALARI MEKAN. ELEKT. VE OTOM. SİSTEMLERİNE YEDEK PARÇA VE SARF MALZ. ALINMASI MAL ALIM İŞİ</t>
  </si>
  <si>
    <t>MUHTELİF DEMİR İŞLERİ YAPILMASI YAPIM İŞİ</t>
  </si>
  <si>
    <t>BACA VE YAĞMURSUYU IZGARA YÜKSELTİLMESİ YAPIM İŞİ</t>
  </si>
  <si>
    <t>HAFRİYATIN RESMİ DÖKÜM SAHASINA NAKLİ YAPIM İŞİ</t>
  </si>
  <si>
    <t>BARİYER VE YEDEK PARÇA ALIM İŞİ</t>
  </si>
  <si>
    <t>ÇEKMECE BÖLGESİ GENELİNDEKİ MEVCUT MUHTELİF PARK VE YEŞİL ALANLARIN BAKIM ONARIMI YAPIM İŞİ</t>
  </si>
  <si>
    <t>HALKALI BÖLGESİ DAHİLİNDEKİ MUHTELİF PARK, PİKNİK VE YEŞİL ALANLARIN BAKIM ONARIMI VE REVİZYONU YAPIM İŞİ</t>
  </si>
  <si>
    <t>İLÇE SINIRLARINDA MEVCUT PARKLARDA REV.YAPIMI YENİ PARK VE SPOR ALANLARININ YAPILMASI İŞİ</t>
  </si>
  <si>
    <t>BANK MALZEMESİ ALIM İŞİ</t>
  </si>
  <si>
    <t>HALKALI BÖLGESİ GENELİNDEKİ YEŞİL ALAN, REFÜJLERİN YAPIM ONARIM VE REVİZYON YAPIM İŞİ</t>
  </si>
  <si>
    <t>YOL YAPIM</t>
  </si>
  <si>
    <t>MEKANİK</t>
  </si>
  <si>
    <t>16.212.404,15</t>
  </si>
  <si>
    <t>29.02.2021</t>
  </si>
  <si>
    <t xml:space="preserve"> KÜÇÜKÇEKMECE BELEDİYE BAŞKANLIĞI</t>
  </si>
  <si>
    <t>İSTANBUL EYÜP FUTSAL PROJE HİZMET ALIMI</t>
  </si>
  <si>
    <t>İSTANBUL AVRUPA YAKASI ÇOK AMAÇLI SPOR SALONU</t>
  </si>
  <si>
    <t xml:space="preserve">DEĞİRMENKÖY FUTBOL SAHASI (SENTETİK SAHA + 4LÜ SOYUNMA ODASI VE 1000 KİŞİLİK TRİBÜN) </t>
  </si>
  <si>
    <t>MARMARACIK GENÇLİK KAMPI BAKIM ONARIM</t>
  </si>
  <si>
    <t>ŞİLE SPOR SALONU BAKIM ONARIMI</t>
  </si>
  <si>
    <t>BAHÇELİEVLER ENGELLİLER SPOR SALONU BAKIM ONARIMI</t>
  </si>
  <si>
    <t>YENİBOSNA STADI SENTETİK ÇİM VE TRİBÜN BAKIM ONARIM</t>
  </si>
  <si>
    <t>TOZKOPARAN OLİMPİK KAPALI YÜZME HAVUZU ONARIM İŞİ</t>
  </si>
  <si>
    <t xml:space="preserve">GÜNGÖREN </t>
  </si>
  <si>
    <t>KEMERBURGAZ YARI OLİMPİK YÜZME HAVUZU YAPIMI İŞİ</t>
  </si>
  <si>
    <t>ARNAVUTKÖY İLÇESİNE 1 ADET KAPALI SENTETİK ÇİM YÜZEYLİ FUTBOL SAHASI YAPIM İŞİ</t>
  </si>
  <si>
    <t>KADIKÖY ATATÜRK FEN LİSESİ OKUL SPOR SALONU ONARIMI İŞİ</t>
  </si>
  <si>
    <t>YENİDOĞAN SPOR KOMPLEKSİ MUHTELİF TADİLAT  İŞLERİ</t>
  </si>
  <si>
    <t>BEYLİKDÜZÜ GÜRPINARSTADI MUHTELİF TADİLAT İŞLERİ</t>
  </si>
  <si>
    <t>GAZİOSMANPAŞA GENÇLİK MERKEZİ YAPIM İŞİ</t>
  </si>
  <si>
    <t>MİLLİ SAVUNMA UNİVERSİTESİ SPOR SALONU YAPIM İŞİ</t>
  </si>
  <si>
    <t>YEŞİLKÖY</t>
  </si>
  <si>
    <t>BÜYÜK ADA 500 KİŞİLİK  SPOR SALONU YAPIM İŞİ</t>
  </si>
  <si>
    <t>BAKIRKÖY ŞENLİK FUTBOL SAHASI YAPIM İŞİ</t>
  </si>
  <si>
    <t>ATAŞEHİR FUTBOL SAHASI YAPIM İŞİ</t>
  </si>
  <si>
    <t>BEŞİKTAŞ HAKKI YETEN FUTBOL SAHASI YAPIM İŞİ</t>
  </si>
  <si>
    <t xml:space="preserve">BEŞİKTAŞ </t>
  </si>
  <si>
    <t>ATAKÖY AHMET CÖMERT SPOR SALONU GÜÇLENDİRME İŞİ</t>
  </si>
  <si>
    <t>İSTANBUL 2000 KİŞİLİK YURT İNŞAATI</t>
  </si>
  <si>
    <t>BARINMA</t>
  </si>
  <si>
    <t>İSTANBUL 2000 KİŞİLİK YURT PROJESİ</t>
  </si>
  <si>
    <t>İSTANBUL2000 KİŞİLİK YURT PROJESİ</t>
  </si>
  <si>
    <t>İSTANBUL 4000 KİŞİLİK YURT PROJESİ</t>
  </si>
  <si>
    <t>2017</t>
  </si>
  <si>
    <t>İSTANBUL 3500 KİŞİLİK YURT PROJESİ</t>
  </si>
  <si>
    <t>2013</t>
  </si>
  <si>
    <t>İSTANBUL 750 KİŞİLİK YURT PROJESİ</t>
  </si>
  <si>
    <t xml:space="preserve">BAĞCILAR </t>
  </si>
  <si>
    <t>AYAZAĞA</t>
  </si>
  <si>
    <t>DAVUTPAŞA</t>
  </si>
  <si>
    <t xml:space="preserve">ZEYTİNBURNU
</t>
  </si>
  <si>
    <t>Kampüs Altyapı</t>
  </si>
  <si>
    <t>Taşkışla ve Maçka Binaları Restorasyonu</t>
  </si>
  <si>
    <t>Ulusal Yüksek Başarımlı Hesaplama Merkezi 2.FAZ</t>
  </si>
  <si>
    <t>Araç Teknolojileri AR-GE Merkezi</t>
  </si>
  <si>
    <t>Sanayi Araçtırmacı Yetiştirme Programı</t>
  </si>
  <si>
    <t>Sentetik Gaz Yakıtlar Ar-Ge Merkezi</t>
  </si>
  <si>
    <t>İleri Araç Teknolojileri ve Güç Sist.Gel.Mer.Bina Yap.</t>
  </si>
  <si>
    <t>İTÜ Uydu Yer Terminali Yenileme Projesi</t>
  </si>
  <si>
    <t>ÇEŞİTLİ ÜNİTELERİN EĞİTİM PROJESİ</t>
  </si>
  <si>
    <t>ETÜD-PROJE</t>
  </si>
  <si>
    <t>BÜYÜK ONARIM (EĞİTİM)</t>
  </si>
  <si>
    <t>MUHTELİF İLÇELER</t>
  </si>
  <si>
    <t>BÜYÜK ONARIM, GÜÇLENDİRME, RESTORASYON</t>
  </si>
  <si>
    <t>DOĞALGAZ DÖNÜŞÜMÜ, ELEKTRİK HATTI, KAMPÜS İÇİ YOL, KANALİZASYON HATTI, PEYZAJ, SU İSALE HATTI, TELEFON HATTI</t>
  </si>
  <si>
    <t>EĞİTİM (201.900 M2), YÖNETİM (20.400 M2)</t>
  </si>
  <si>
    <t>BASILI YAYIN ALIMI, ELEKTRONİK YAYIN ALIMI</t>
  </si>
  <si>
    <t>MUHTELİF İŞLER (EĞİTİM)</t>
  </si>
  <si>
    <t>BAKIM ONARIM, BİLGİ VE İLETİŞİM TEKNOLOJİLERİ, KESİN HESAP, MAKİNE TEÇHİZAT, T-5 (4 ADET), T-8 (1 ADET)</t>
  </si>
  <si>
    <t>BÜYÜK ONARIM (SAĞLIK)</t>
  </si>
  <si>
    <t>CERRAHPAŞA</t>
  </si>
  <si>
    <t>BÜYÜK ONARIM, ETÜD-PROJE</t>
  </si>
  <si>
    <t>MUHTELİF İŞLER (SAĞLIK)</t>
  </si>
  <si>
    <t>BÜYÜK ONARIM, MAKİNE-TEÇHİZAT, T-15 (3 ADET)</t>
  </si>
  <si>
    <t>CERRAHPAŞA YERLEŞKESİ HASTANE BİNALARI</t>
  </si>
  <si>
    <t>HASTANE İNŞAATI (358.000 M2), MAKİNE-TEÇHİZAT</t>
  </si>
  <si>
    <t>TARİHİ BİNALARIN ONARIM VE RESTORASYONU</t>
  </si>
  <si>
    <t>BÜYÜK ONARIM (6.820 M2), RESTORASYON</t>
  </si>
  <si>
    <t>PROJE DESTEĞİ</t>
  </si>
  <si>
    <t>İSTANBUL ULUSLARARASI FİNANS MERKEZİ ORTAK ALTYAPI 1 VE 2 ETAP İKMAL İNŞAATI YAPIM İŞİ</t>
  </si>
  <si>
    <t>ALTYAPI</t>
  </si>
  <si>
    <t>İSTANBUL ULUSLARARASI FİNANS MERKEZİ ORTAK ALTYAPI 3 ETAP İKMAL İNŞAATI YAPIM İŞİ</t>
  </si>
  <si>
    <t>İSTANBUL ULUSLARARASI FİNANS MERKEZİ ORTAK ALTYAPI 4 ETAP İKMAL İNŞAATI YAPIM İŞİ</t>
  </si>
  <si>
    <t>ÇEKMEKÖY ÇAMLIK SOKAK KENTSEL TASARIM UYGULAMASI İŞİ</t>
  </si>
  <si>
    <t>BAŞAKŞEHİR GENELİNDE PARK YAPIMI İLE MEVCUT PARKLARIN ONARIMI İŞİ</t>
  </si>
  <si>
    <t>FATİH İLÇE GENELİ CEPHE YENİLEME YAPIM İŞİ</t>
  </si>
  <si>
    <t>GÜNGÖREN HASBAHÇE PARKI PEYZAJ VE ÇEVRE DÜZENLEMESİ İLE OTOPARK VE KONFERANS SALONU YAPIM İŞİ</t>
  </si>
  <si>
    <t>ŞİLE AĞVA GENÇLİK VE KÜLTÜR MERKEZİ YAPIM İŞİ</t>
  </si>
  <si>
    <t>BAŞAKŞEHİR GENELİNDE KULLANILMAK ÜZERE MUHTELİF BİTKİ, BİTKİSEL MALZEME VE İLAÇ ALIMI</t>
  </si>
  <si>
    <t>BAĞCILAR BELEDİYE HİZMET BİNASI, PARKI VE ÇEVRE DÜZENLEMESİ YAPIM İŞİ</t>
  </si>
  <si>
    <t>EYÜPSULTAN CAMİİ VE ÇEVRESİ REHABİLİTASYON YAPIM İŞİ</t>
  </si>
  <si>
    <t xml:space="preserve">ÇATALCA BELEDİYESİ YOL YAPILMASI İŞİ </t>
  </si>
  <si>
    <t>BAŞAKŞEHİR GENELİNDE KULLANILMAK ÜZERE MUHTELİF MALZEME ALIMI İŞİ</t>
  </si>
  <si>
    <t>GÜNGÖREN BELEDİYESİ CEVHER DUDAYEV PARKI MİLLET KIRAATHANESİ VE ÇEVRE DÜZENLEMESİ YAPIM İŞİ</t>
  </si>
  <si>
    <t>İSTANBUL YATIRIM İZLEME VE KOORDİNASYON BAŞKANLIĞI (YİKOB)</t>
  </si>
  <si>
    <t>ÖĞRETMENLER PARKI</t>
  </si>
  <si>
    <t>SERİNPINAR PARK</t>
  </si>
  <si>
    <t>MİMOZA PARK</t>
  </si>
  <si>
    <t>ÇAKMAKLI MEYDAN</t>
  </si>
  <si>
    <t>EFELER SOKAK PARK</t>
  </si>
  <si>
    <t>GONCA SOKAK PARK</t>
  </si>
  <si>
    <t>GAZANFER SOKAK PARK</t>
  </si>
  <si>
    <t>AHMET YESEVİ PARK</t>
  </si>
  <si>
    <t>BÜLBÜL 4 SOKAK PARK</t>
  </si>
  <si>
    <t>GÜLKURUSU SOKAK PARK</t>
  </si>
  <si>
    <t>ANAOKULU YAPIMI</t>
  </si>
  <si>
    <t>MUHTARLIK</t>
  </si>
  <si>
    <t>PARKE TAŞ YOL YAPIM</t>
  </si>
  <si>
    <t xml:space="preserve">ASFALT YOL YAPIM </t>
  </si>
  <si>
    <t>ETÜD MERKEZİ</t>
  </si>
  <si>
    <t xml:space="preserve">YAŞLILAR SOSYAL TESİSİ </t>
  </si>
  <si>
    <t>AİLE SAĞLIĞI MERKEZİ YAPIM İŞİ</t>
  </si>
  <si>
    <t>GENÇLİK MERKEZİ</t>
  </si>
  <si>
    <t>PARK YAPIMI</t>
  </si>
  <si>
    <t>MEYDAN YAPIMI</t>
  </si>
  <si>
    <t>KAMUSAL HİZ. ALANI</t>
  </si>
  <si>
    <t>YAPIM İŞİ</t>
  </si>
  <si>
    <t>SOSYAL</t>
  </si>
  <si>
    <t xml:space="preserve"> BÜYÜKÇELMECE BELEDİYE BAŞKANLIĞI</t>
  </si>
  <si>
    <t>Etüt-Proje
Bakım Onarım</t>
  </si>
  <si>
    <t>Etüt-Proje
Uygulama
İmalat</t>
  </si>
  <si>
    <t xml:space="preserve">
 10.10.2019
</t>
  </si>
  <si>
    <t xml:space="preserve"> PENDİK BELEDİYE BAŞKANLIĞI</t>
  </si>
  <si>
    <t>2021 Yılı Güngören İlçesi Dahilinde Yol ve Yaya Kaldırımlarında Parketaş Onarımı Yapılması İşi</t>
  </si>
  <si>
    <t>Cevher Dudayev Parkı Millet Kıraathanesi ve Çevre Düzenlemesi Yapım İşi</t>
  </si>
  <si>
    <t>Şeyh Şamil Parkı Peyzaj ve Çevre Düzenlenmesi ile Millet Kıraathanesi Yapım İşi</t>
  </si>
  <si>
    <t>Hasbahçe Parkı Peyzaj ve Çevre Düzenlemesi İle otopark ve Konferans salonu Yapım İşi</t>
  </si>
  <si>
    <t>Hanımeli Konağı Sosyal Tesisi Tadilat ve Onarım İşi</t>
  </si>
  <si>
    <t>GÜNGÖREN BELEDİYE BAŞKANLIĞI</t>
  </si>
  <si>
    <t>Muhtelif (Beyoğlu, Şişli, Beşiktaş)</t>
  </si>
  <si>
    <t>Kampüs içi yol, Peyzaj, Doğalgaz, Elektirk, Su, Telefon Hattı Altyapı</t>
  </si>
  <si>
    <t>Çeşitli  Ünitelerin Etüd Projesi</t>
  </si>
  <si>
    <t>Bakım Onarım, BİT, Kesin 
Hesap, Makine Teçhizat</t>
  </si>
  <si>
    <t>Basılı Yayın Alımı,
Elektronik Yayın Alımı</t>
  </si>
  <si>
    <t>Büyük Onarım, 
Güçlendirme Restorasyon</t>
  </si>
  <si>
    <t>Tophane-i Amire Binası Onarım ve Çevre Düz.</t>
  </si>
  <si>
    <t>Etüt Proje, Restorasyon</t>
  </si>
  <si>
    <t>Resim ve Heykel   Müzesi (ICAM)</t>
  </si>
  <si>
    <t>Bakım Onarım, Etüt Proje, Müşavirlik, Tefrişat, Uygulamalı Yazılım</t>
  </si>
  <si>
    <t>Nusretiye Kasrı Restorasyonu</t>
  </si>
  <si>
    <t xml:space="preserve"> Etüt Proje, Müşavirlik, 
Restorasyon</t>
  </si>
  <si>
    <t>Erken Dönem Konulu Türk Filmleri
ile Belge Filmlerinin Restorasyonu</t>
  </si>
  <si>
    <t>Bakım Onarım, Makine Teçhizat, 
Müşavirlik, Kontrollük</t>
  </si>
  <si>
    <t>Yağlı Boya Tabloların Kimliklendirilmesi</t>
  </si>
  <si>
    <t>Destekler, Donanım Onarım, 
Makine Teçhizat</t>
  </si>
  <si>
    <t>Mimarlık Fakültesi Binası Güçlendirme ve Rest.</t>
  </si>
  <si>
    <t>Etüt-Proje, Güçlendirme, Müşavirlik/Kontrollük, Restorasyon</t>
  </si>
  <si>
    <t>Bağlarçeşme Mahallesi Bağlarçeşme Caddesi No:1 deki Yapının Kütüphaneye Dönüştürülmesi</t>
  </si>
  <si>
    <t>Namık Kemal Mahallesi Kapalı Pazar Yeri ve Otopark ve Okul Binası Tamamlaması</t>
  </si>
  <si>
    <t>Esenyurt Genelindeki Tüm Kamu, İdari, Eğitim, Sağlık, Spor, Dini, Kültür Ve Diğer Hizmet Binalarının Her Türlü Tadilat, Bakım, Onarımı, Yapımı İle Eksik İmalatların Tamamlanması</t>
  </si>
  <si>
    <t>Süleymaniye Mahallesi 2964 Ada 1 Parsele Dini Tesis Yapımı</t>
  </si>
  <si>
    <t>Esenyurt Geneli Sosyal Tesis Binaları Tamamlama ve Bakım Onarım İle Aile Sağlığı Merkezi Yapımı</t>
  </si>
  <si>
    <t>Esenyurt Sınırları İçerisindeki Tüm Kamu, İdari, Eğitim, Sağlık, Spor, Dini, Kültür ve Diğer Hizmet Binalarının Her Türlü Tadilat, Bakım, Onarımı, Yapımı ile Eksik İmalatların Tamamlanması</t>
  </si>
  <si>
    <t xml:space="preserve"> ESENYURT BELEDİYE BAŞKANLIĞI</t>
  </si>
  <si>
    <t>ESENYURT BELEDİYE BAŞKANLIĞI</t>
  </si>
  <si>
    <t>Afet Yönetim Merkezi Binası Yapımı İşi</t>
  </si>
  <si>
    <t>Bina Yapım İşi</t>
  </si>
  <si>
    <t>Kamu Binaları Tadilatı</t>
  </si>
  <si>
    <t>Tadilat İşi</t>
  </si>
  <si>
    <t>Aydos Kalesi 1. Etap Çevre Düzenlemesi Projesi Uygulaması</t>
  </si>
  <si>
    <t>Tarihi Yapı Çevre Düzenleme İşi</t>
  </si>
  <si>
    <t xml:space="preserve"> SULTANBEYLİ BELEDİYE BAŞKANLIĞI</t>
  </si>
  <si>
    <t>SULTANBEYLİ BELEDİYE BAŞKANLIĞI</t>
  </si>
  <si>
    <t xml:space="preserve">İSTANBUL YATIRIM İZLEME VE KOORDİNASYON BAŞKANLIĞI (YİKOB) </t>
  </si>
  <si>
    <t>BİLGİ TEKNOLOJİLERİ ALTYAPISINI GÜÇLENDİRMEK</t>
  </si>
  <si>
    <t>YENİ NOKTALARA AKILLI YOLCU BİLGİLENDİRME SİSTEMİ KONULMASI</t>
  </si>
  <si>
    <t>KURUMSAL KAYNAK PLANLAMA SİSTEMİNİN GELİŞTİRİLMESİ</t>
  </si>
  <si>
    <t>SES GÖRÜNTÜ VE GÜVENLİK SİSTEMLERİ KURULUMU</t>
  </si>
  <si>
    <t>NETWORK ALT YAPISININ İYİLEŞTİRİLMESİ</t>
  </si>
  <si>
    <t>VERİ YÖNETİMİ</t>
  </si>
  <si>
    <t>HİZMET BİNALARIMIZIN BAKIM VE ONARIMININ YAPILMASI</t>
  </si>
  <si>
    <t>YENİ DURAK ALIMI</t>
  </si>
  <si>
    <t>YENİ OTOBÜS ALIMI</t>
  </si>
  <si>
    <t>WEB SİTESİ VE MOBİL UYGULAMALAR GELİŞTİRİLMESİ</t>
  </si>
  <si>
    <t>ARAÇ TEKNOLOJİLERİ GELİŞTİRMEK</t>
  </si>
  <si>
    <t>LİSANS ALIMLARI</t>
  </si>
  <si>
    <t>İstanbul Kuleli Askeri Lisesi Müze Olarak Dönüştürülmesine İlişkin Proje Yapımı</t>
  </si>
  <si>
    <t xml:space="preserve">ÜSKÜDAR </t>
  </si>
  <si>
    <t>Ayasofya Müzesi Ana Mekan İç Yüzeylerinin Acil Müdahale ve Proje Yapım İşleri</t>
  </si>
  <si>
    <t xml:space="preserve">İstanbul Ayasofya Müzesi Ziyaretçi Dolapları ve Çevre Düzenlemesi </t>
  </si>
  <si>
    <t>Topkapı Sarayı Sur-i Sultani 2 Etap Surlarının Restorasyonu, Elektrik, Peyzaj, ve Peyzaj Altyapı İşleri, Aydınlatma İşlerinin Yapılması</t>
  </si>
  <si>
    <t>İstanbul Arkeoloji Müzesi Klasik Bina Onarımı Teşhir Tanzimi ve Çevre Düzenlemesi</t>
  </si>
  <si>
    <t>İstanbul Harbiye Askeri Müzesi Proje Yapımı</t>
  </si>
  <si>
    <t>İstanbul Kalender Kasrının Restorasyonu ve Uygulama ikmal işi</t>
  </si>
  <si>
    <t>İstanbul Tarık Zafer Tunaya Kültür Merkezi Tİyatro Ses ve Işık Sistemi Kurulması İşi</t>
  </si>
  <si>
    <t>Atlas Sineması Salonu Basit Onarımı ve Ulusal Film Arşivi ve Sinema Müzesi Elektrik İşleri, Yangın, Muhtelif İmalatların ve Kamulaştırılan A blok zemin Kat Restorasyonu</t>
  </si>
  <si>
    <t>İstanbul Ayasofya Müzesi Doğu Güney ve Kuzey Cepheleri Projeleri işi</t>
  </si>
  <si>
    <t>Mehmet Akif Ersoy Müze Evi Onarımı ve Teşhir Tanzim İşi</t>
  </si>
  <si>
    <t>İstanbul Arkeoloji Müzesi Klasik Bina Teşhirinde Sergilenecek Olan Her Türlü Eser İçin Kaideler ve Askı Aparatlarının Yapılması İle Eserlerin Yerleştirilmesi İşi</t>
  </si>
  <si>
    <t>Sokullu Mehmet Paşa Türbesi Restorasyonu işi</t>
  </si>
  <si>
    <t>İstanbul Harbiye Fethi Ahmet Paşa Yapısı Restorasyonu ve Teşhir Tanzim İşi</t>
  </si>
  <si>
    <t>İstanbul Fransız Hapishanesinin İstanbul Rölöve ve Anıtlar Mdüürlüğü Olarak Düzenlenmesi İşi</t>
  </si>
  <si>
    <t>Rami Kışlası Kütüphanesi Müştemilatı Projeleri İşi</t>
  </si>
  <si>
    <t>Bakırköy Rıfat Ilgaz İlçe Halk Kütüphanesi Tamamlama ve İkmal İşi</t>
  </si>
  <si>
    <t>Sinema Müzesi Teşhir Tanzim İşi</t>
  </si>
  <si>
    <t>Yavuz Sultan Selim Türbesi Basit Onarımı İşi</t>
  </si>
  <si>
    <t>Galip Paşa Camii proje çizim işi</t>
  </si>
  <si>
    <t>Kuloğlu Camii proje çizim işi</t>
  </si>
  <si>
    <t>18 ada, 20 parseldeki taşınmazın proje çizim işi</t>
  </si>
  <si>
    <t>Sahrayı Cedit Camii proje çizim işi</t>
  </si>
  <si>
    <t>Muhasebeci Abdi Efendi Camii proje çizim işi</t>
  </si>
  <si>
    <t>Gevher Ağa Camii proje çizim işi</t>
  </si>
  <si>
    <t>Alemdağ Camii Uygulama (Restorasyon) İşi</t>
  </si>
  <si>
    <t>Silahtar Abdurrahmanağa Camii Uygulama (Resyorasyon) işi</t>
  </si>
  <si>
    <t>Rumi Mehmet Paşa Camii restorasyonu</t>
  </si>
  <si>
    <t>Suadiye Camii Uygulama (restorasyonu)</t>
  </si>
  <si>
    <t>3.Mustafa (İskele) Camii Uygulama (Restorasyon) işi</t>
  </si>
  <si>
    <t>Hacı Selim Ağa Kütüphanesi Uygulama (Restorasyon) işi</t>
  </si>
  <si>
    <t>Kaymak Mustafa Paşa Camii uygulama (restorasyon) işi</t>
  </si>
  <si>
    <t>Ahmediye Külliyesi uygulama (restorasyon) işi</t>
  </si>
  <si>
    <t>Midillili Ali Reis Camii uygulama (restorasyon) işi</t>
  </si>
  <si>
    <t>Kısıklı 2 adet ahşap ev  uygulama (rekonstrüksiyon) işi</t>
  </si>
  <si>
    <t>Kerime Hatun Camii restorasyon (uygulama) işi</t>
  </si>
  <si>
    <t>Hilmi Abbas Camii restorasyon (uygulama) işi</t>
  </si>
  <si>
    <t>Ayazma ( Sultan III. Mustafa-Laleli) Camii Ve Çevre Düzenleme İşi 2020-2022 Yılları Uygulama (Restorasyon) Tamamlama İşi</t>
  </si>
  <si>
    <t>İstanbul-Üsküdar Selimiye Kışlası Ve Müştemilatları</t>
  </si>
  <si>
    <t>Kavacık GIS</t>
  </si>
  <si>
    <t>380/33 kV, 2x125 MVA + 3 Trafo fideri</t>
  </si>
  <si>
    <t>Bostancı Metro GIS</t>
  </si>
  <si>
    <t>154/33 kV, 2x100 MVA + 50 MVA + 4. Trafo/Reaktör Fideri</t>
  </si>
  <si>
    <t xml:space="preserve">2021 Yılı 1.Bölge Mah.Park Revizyonu ve Çevre Düzenlemesi Yapım  İşi </t>
  </si>
  <si>
    <t xml:space="preserve">2021 Yılı 2.Bölge Mah.Park Revizyonu ve Çevre Düzenlemesi Yapım  İşi </t>
  </si>
  <si>
    <t xml:space="preserve">2021 Yılı 3.Bölge Mah.Park Revizyonu ve Çevre Düzenlemesi Yapım  İşi </t>
  </si>
  <si>
    <t>2021 Yılı Prestij Park I Yapım İşi</t>
  </si>
  <si>
    <t>Konut proje inşaatı tamamlama işi</t>
  </si>
  <si>
    <t>ÜSTYAPI/YAPIM İŞİ</t>
  </si>
  <si>
    <t>Mihrimah Sultan Gençlik Kütüphanesi</t>
  </si>
  <si>
    <t>Rıfai Asitanesi Reskontrüksiyonu</t>
  </si>
  <si>
    <t xml:space="preserve">Beylerbeyi Stadı </t>
  </si>
  <si>
    <t xml:space="preserve">DKH </t>
  </si>
  <si>
    <t xml:space="preserve"> ÜSKÜDAR BELEDİYE BAŞKANLIĞI</t>
  </si>
  <si>
    <t xml:space="preserve"> KARTAL BELEDİYE BAŞKANLIĞI</t>
  </si>
  <si>
    <t>ÇOÇUK GELİŞİM MERKEZİ YAPIMI</t>
  </si>
  <si>
    <t>YALI, YUNUS, TOPSELVİ MAHALLELERİ SOSYAL HİZMET MERKEZİ YAPIMI</t>
  </si>
  <si>
    <t>UĞUR MUMCU KENT MEYDANI PROJESİ</t>
  </si>
  <si>
    <t>BAYRAM DEMİRKOL VE MEHMET ALİ BÜKLÜ PARKLARINA KAFETERYA VE KIŞ BAHÇESİ YAPIMI</t>
  </si>
  <si>
    <t>SİLİVRİ BELEDİYE BAŞKANLIĞI</t>
  </si>
  <si>
    <t>YOL YAPIMI</t>
  </si>
  <si>
    <t>YAĞMURSUYU HATTI YAPIMI</t>
  </si>
  <si>
    <t>KÜLTÜR SANAT GENÇLİK MERKEZİ YAPIMI</t>
  </si>
  <si>
    <t xml:space="preserve">PAZAR ALANLARININ İYİLEŞTİRİLMESİ </t>
  </si>
  <si>
    <t xml:space="preserve"> AVCILAR BELEDİYE BAŞKANLIĞI</t>
  </si>
  <si>
    <t>YEŞİLKENT SOKAK DÜZENLEME İŞİ G-34</t>
  </si>
  <si>
    <t>YEŞİLKENT 523 SOKAK PARK DÜZENLEME İŞİ</t>
  </si>
  <si>
    <t>NAİM SÜLEYMANOĞLU PARK REVİZYONU İŞİ</t>
  </si>
  <si>
    <t>KADIN SOSYAL YAŞAM MERKEZİ VE FİRÜZKOZ ÇOCUK EVİ</t>
  </si>
  <si>
    <r>
      <t xml:space="preserve">BAĞCILAR DEMİRKAPI ASM (AHB 5) TİP 2 </t>
    </r>
    <r>
      <rPr>
        <b/>
        <sz val="12"/>
        <rFont val="Times New Roman"/>
        <family val="1"/>
        <charset val="162"/>
      </rPr>
      <t>(1.KISIM)</t>
    </r>
  </si>
  <si>
    <r>
      <t xml:space="preserve">BAĞCILAR GÖZTEPE ASM (5 AHB) TİP 2 </t>
    </r>
    <r>
      <rPr>
        <b/>
        <sz val="12"/>
        <rFont val="Times New Roman"/>
        <family val="1"/>
        <charset val="162"/>
      </rPr>
      <t>(1.KISIM)</t>
    </r>
  </si>
  <si>
    <r>
      <t xml:space="preserve">BAĞCILAR YENİMAHALLE ASM (8 AHB) </t>
    </r>
    <r>
      <rPr>
        <b/>
        <sz val="12"/>
        <rFont val="Times New Roman"/>
        <family val="1"/>
        <charset val="162"/>
      </rPr>
      <t>(1.KISIM)</t>
    </r>
  </si>
  <si>
    <r>
      <t>BAKIRKÖY OSMANİYE MAHALLESİ ASM (5 AHB) TİP 2</t>
    </r>
    <r>
      <rPr>
        <b/>
        <sz val="12"/>
        <rFont val="Times New Roman"/>
        <family val="1"/>
        <charset val="162"/>
      </rPr>
      <t>(1.KISIM)</t>
    </r>
  </si>
  <si>
    <r>
      <t>BAĞCILAR YENİGÜN ASM(5 AHB)</t>
    </r>
    <r>
      <rPr>
        <b/>
        <sz val="12"/>
        <rFont val="Times New Roman"/>
        <family val="1"/>
        <charset val="162"/>
      </rPr>
      <t xml:space="preserve">  (2.KISIM)</t>
    </r>
  </si>
  <si>
    <r>
      <t xml:space="preserve">BAĞCILAR KİRAZLI SAĞLIKLI YAŞAM MERKEZİ  </t>
    </r>
    <r>
      <rPr>
        <b/>
        <sz val="12"/>
        <rFont val="Times New Roman"/>
        <family val="1"/>
        <charset val="162"/>
      </rPr>
      <t>(2.KISIM)</t>
    </r>
  </si>
  <si>
    <r>
      <t xml:space="preserve">ÇEKMEKÖY KİRAZLIDERE ASM (5 AHB) TİP 2 </t>
    </r>
    <r>
      <rPr>
        <b/>
        <sz val="12"/>
        <rFont val="Times New Roman"/>
        <family val="1"/>
        <charset val="162"/>
      </rPr>
      <t>(3.KISIM)</t>
    </r>
  </si>
  <si>
    <r>
      <t xml:space="preserve">ÜMRANİYE YUKARIDUDULLU ASM (5 AHB) TİP 2 </t>
    </r>
    <r>
      <rPr>
        <b/>
        <sz val="12"/>
        <rFont val="Times New Roman"/>
        <family val="1"/>
        <charset val="162"/>
      </rPr>
      <t>(3.KISIM)</t>
    </r>
  </si>
  <si>
    <r>
      <t xml:space="preserve">ÜMRANİYE AŞAĞIDUDULLU ASM (5 AHB) </t>
    </r>
    <r>
      <rPr>
        <b/>
        <sz val="12"/>
        <rFont val="Times New Roman"/>
        <family val="1"/>
        <charset val="162"/>
      </rPr>
      <t>(3.KISIM)</t>
    </r>
  </si>
  <si>
    <r>
      <t xml:space="preserve">KARTAL SOĞANLIK ASM (7 AHB) </t>
    </r>
    <r>
      <rPr>
        <b/>
        <sz val="12"/>
        <rFont val="Times New Roman"/>
        <family val="1"/>
        <charset val="162"/>
      </rPr>
      <t>(3.KISIM)</t>
    </r>
  </si>
  <si>
    <t xml:space="preserve"> TOPLAM</t>
  </si>
  <si>
    <t>Şevket ATLI</t>
  </si>
  <si>
    <t>Vali Yardımcısı</t>
  </si>
  <si>
    <t>Coşkun SARIYILDIZ</t>
  </si>
  <si>
    <t>İl Planlama Uzmanı</t>
  </si>
  <si>
    <t xml:space="preserve">     Hamit KARA </t>
  </si>
  <si>
    <t>İl Planlama ve Koor. Müdür V.</t>
  </si>
  <si>
    <t xml:space="preserve">DKH 
</t>
  </si>
  <si>
    <t>ADALAR BELEDİYE BAŞKANLIĞI</t>
  </si>
  <si>
    <t>ARNAVUTKÖY BELEDİYE BAŞKANLIĞI</t>
  </si>
  <si>
    <t>BAKIRKÖY BELEDİYE BAŞKANLIĞI</t>
  </si>
  <si>
    <t>BAŞAKŞEHİR BELEDİYE BAŞKANLIĞI</t>
  </si>
  <si>
    <t>BEYLİKDÜZÜ BELEDİYE BAŞKANLIĞI</t>
  </si>
  <si>
    <t>ATAŞEHİR BELEDİYE BAŞKANLIĞI</t>
  </si>
  <si>
    <t>AVCILAR BELEDİYE BAŞKANLIĞI</t>
  </si>
  <si>
    <t>BAYRAMPAŞA BELEDİYE BAŞKANLIĞI</t>
  </si>
  <si>
    <t>BEŞİKTAŞ BELEDİYE BAŞKANLIĞI</t>
  </si>
  <si>
    <t>BEYKOZ BELEDİYE BAŞKANLIĞI</t>
  </si>
  <si>
    <t>BÜYÜKÇEKMECE BELEDİYE BAŞKANLIĞI</t>
  </si>
  <si>
    <t>ESENLER BELEDİYE BAŞKANLIĞI</t>
  </si>
  <si>
    <t>KARTAL BELEDİYE BAŞKANLIĞI</t>
  </si>
  <si>
    <t>KÜÇÜKÇEKMECE BELEDİYE BAŞKANLIĞI</t>
  </si>
  <si>
    <t>PENDİK BELEDİYE BAŞKANLIĞI</t>
  </si>
  <si>
    <t>SANCAKTEPE BELEDİYE BAŞKANLIĞI</t>
  </si>
  <si>
    <t>ÜSKÜDAR BELEDİYE BAŞKANLIĞI</t>
  </si>
  <si>
    <t>GAZİOSMANPAŞA BELEDİYE BAŞKANLIĞI</t>
  </si>
  <si>
    <t>SARIYER BELEDİYE BAŞKANLIĞI</t>
  </si>
  <si>
    <t>SULTANGAZİ BELEDİYE BAŞKANLIĞI</t>
  </si>
  <si>
    <t>ŞİLE BELEDİYE BAŞKANLIĞI</t>
  </si>
  <si>
    <t>ŞİŞLİ BELEDİYE BAŞKANLIĞI</t>
  </si>
  <si>
    <t>TUZLA BELEDİYE BAŞKANLIĞI</t>
  </si>
  <si>
    <t>İETT GENEL MÜDÜRLÜĞÜ</t>
  </si>
  <si>
    <t>İGDAŞ GENEL MÜDÜRLÜĞÜ</t>
  </si>
  <si>
    <t>KAĞITHANE BELEDİYE BAŞKANLIĞI</t>
  </si>
  <si>
    <t>FATİH BELEDİYE BAŞKANLIĞI</t>
  </si>
  <si>
    <t>GALATASARAY ÜNİVERSİTESİ</t>
  </si>
  <si>
    <t>PTT İSTANBUL BAŞMÜDÜRLÜĞÜ</t>
  </si>
  <si>
    <t>RÖLÖVE VE ANITLAR  MÜDÜRLÜĞÜ</t>
  </si>
  <si>
    <t xml:space="preserve"> İSTANBUL 2021 YILI GENEL İDARE KURULUŞLARI YATIRIM PROJELERİ ÇALIŞMA VE İŞ PROGRAMI</t>
  </si>
  <si>
    <t>DLH MARMARAY BÖLGE MÜDÜRLÜĞÜ</t>
  </si>
  <si>
    <t>Kocaeli,                 İstanbul</t>
  </si>
  <si>
    <t xml:space="preserve">İstanbul </t>
  </si>
  <si>
    <t>BAŞAKŞEHİR-KAYAŞEHİR METRO HATTI</t>
  </si>
  <si>
    <t>SAYISAL YAYINCILIK (KÜÇÜK ÇAMLICA TV-RADYO KULESİ)</t>
  </si>
  <si>
    <t xml:space="preserve">Beşiktaş, Beyoğlu, Şişli ve Avcılar </t>
  </si>
  <si>
    <t>Altyapı,bakım,onarım,İnşaat ve restorasyon işleri.</t>
  </si>
  <si>
    <t xml:space="preserve">Derslik ve Merkezi Birimler </t>
  </si>
  <si>
    <t>Beşiktaş, Beyoğlu ve  Şişli</t>
  </si>
  <si>
    <t>Çeşitli kampüs altyapı çalışmaları.</t>
  </si>
  <si>
    <t>Beşiktaş, Beyoğlu, Şişli ve Avcılar</t>
  </si>
  <si>
    <t>Bakım onarım,kesin hesap, makine,techizat.</t>
  </si>
  <si>
    <t>Ortaköy</t>
  </si>
  <si>
    <t>Basın yayın alımı, elektronik yayın alımı.</t>
  </si>
  <si>
    <t xml:space="preserve">Feriye Sarayları
Müştemilatı Onarımı
</t>
  </si>
  <si>
    <t>Restorasyon sonrası çeşitli bakım işleri.</t>
  </si>
  <si>
    <t>MÜBADELE MÜZESİ YAPILMASI</t>
  </si>
  <si>
    <t>ŞİFA AVM BİLGİ EVİ</t>
  </si>
  <si>
    <t>PİYADE OKULU İKMAL İNŞAATI</t>
  </si>
  <si>
    <t>BARIŞ MANÇO OKULU</t>
  </si>
  <si>
    <t xml:space="preserve">BİLİM MÜZESİ TADİLATI </t>
  </si>
  <si>
    <t>DEPO AŞEVİ</t>
  </si>
  <si>
    <t>KRİZ MERKEZİ</t>
  </si>
  <si>
    <t>ENGELLİ KOORDİNASYON MERKEZİ</t>
  </si>
  <si>
    <t>TEKMER</t>
  </si>
  <si>
    <t>2021 YILI MERKEZİ İDARE KURULUŞLARI SEKTÖRLER İTİBARİYLE ÇALIŞMA VE İŞ PROGRAMI</t>
  </si>
  <si>
    <t>EÜAŞ İSTANBUL DOĞALGAZ SANTRALLERİ İŞLETME MÜDÜRLÜĞÜ</t>
  </si>
  <si>
    <t>İSTANBUL DGS-A SANTRALI YENİLEME ETÜT İŞLERİ</t>
  </si>
  <si>
    <t>İSTANBUL DGS-A SANTRALI YANGIN SÖNDÜRME SİSTEMİNİN MODERNİZASYONU</t>
  </si>
  <si>
    <t>İSTANBUL DGS-B SANTRALI İDARİ BİNA VE ÇEVRE DÜZENLEMESİ YAPILMASI</t>
  </si>
  <si>
    <t>İSTANBUL DGS AİT ATIK SU ARITMA SİSTEMİ REHABİLİTASYONU</t>
  </si>
  <si>
    <t>TENMAK NÜKLEER ENERJİ ARAŞTIRMA ENSTİTÜSÜ</t>
  </si>
  <si>
    <t>YENİDEN YAPIM</t>
  </si>
  <si>
    <t>İSTANBUL BÜYÜKŞEHİR BELEDİYESİ, 39 İLÇE BELEDİYESİ VE BAĞLI KURUMLAR (İETT, İSKİ, İGDAŞ)</t>
  </si>
  <si>
    <t>BAKIRKÖY GENELİ ASFAL KAPLAMA İŞLERİ</t>
  </si>
  <si>
    <t>BELEDİYE BÜNYESİNDE HİZMET VEREN BİNALARIN BAKIM VE ONARIM İŞLERİ</t>
  </si>
  <si>
    <t>Eminönü bölgesi 6. Grup SMÖ Yapılar Projelendirilmesi</t>
  </si>
  <si>
    <t>Süleymaniye Yenileme Alanı  (267 adet SMÖ Yapı) Projelendirilmesi</t>
  </si>
  <si>
    <t>Süleymaniye Yenileme Alanı  (59 adet SMÖ Yapı) Projelendirilmesi</t>
  </si>
  <si>
    <t>Süleymaniye Yenileme Alanı  (19 adet SMÖ Yapı) Projelendirilmesi</t>
  </si>
  <si>
    <t xml:space="preserve">Nişanca ve Sultanahmet Bölgeleri Kentsel Yenileme Alanı Yenileme Avan Projesi Hazırlatılması İşi </t>
  </si>
  <si>
    <t>Şeyh Bedrettin Nam Perşembe Pazarı Tekkesi (2472/33) Projelendirilmesi</t>
  </si>
  <si>
    <t>Mevlanakapı – Silivrikapı - Sümbülefendi Mahalleleri Yenileme Alanı Yenileme Avan Projesinin Hazırlatılması İşi</t>
  </si>
  <si>
    <t>6306 sayılı Afet Riski Altındaki Alanların Dönüştürülmesi hakkında Kanun Kapsamında Riskli yapı Tespit Raporlarının Hazırlatılması</t>
  </si>
  <si>
    <t>Fatih İlçesi, 2567 Adada Yer Alan Aetius Sarnıcı Duvarlarının Rölöve, Restitüsyon, Restorasyon Projelerinin Hazırlatılması İşi</t>
  </si>
  <si>
    <t>İstanbul İli, Fatih İlçesi, Topkapı Mahallesi, 2113 Ada, 28 Parselde İhya Edilecek Olan Arpa Emini Mescidi’ne Ait Rölöve, Restitüsyon Projesi, Rekonstrüksiyon Projesi, İnşaat Mühendisliği, Makine Mühendisliği, Elektrik Mühendisliği Projelerinin Hazırlatılması Hizmet Alım İşi</t>
  </si>
  <si>
    <t>İstanbul İli, Fatih İlçesi, Nuru Osmaniye Camii Çevresindeki Cephelerin Rehabilitasyonu Projesi Hizmet Alım İşi</t>
  </si>
  <si>
    <t>İstanbul İli, Fatih İlçesi, Yalı Mahallesi’nin Kentsel Tasarım Fikir Projesi Hazırlatılması Hizmet Alım İşi</t>
  </si>
  <si>
    <t>Orhan Kemal Kütüphanesi Zemin Kat Dükkan Bölümleri Cephe Düzenleme Projesi</t>
  </si>
  <si>
    <t>Topkapı Semt Konağı Projesinin Mimari,Elektrik,Mekanik,Statik Uygulama Projelerinin Hazırlatılması Hizmet Alım İşi</t>
  </si>
  <si>
    <t>İstanbul İli, Fatih İlçesi, Akşemsettin Mahallesi, 2013 Ada, 14 Parselde Yer Alan, Uncu Hafız Halil Medresesi‘nin Rekonstrüksiyon, İnşaat, Elektrik, Makine Projelerinin Hazırlatılması Hizmet Alım İşi</t>
  </si>
  <si>
    <t>2472 Ada 36 Parselde Açık Alan Düzenlemesi ve Uygulama Projesi Hizmet Alım İşi</t>
  </si>
  <si>
    <t>Fener-Balat Yenileme Alanı 20 Yapı Adası İçin Lazer Tarama İle Cephe Rölövesi Hazırlatılması Hizmet Alım İşi</t>
  </si>
  <si>
    <t>Tarihi Yarımada Geneline İlişkin Kentsel Tasarım Rehber İçeriğinin Geliştirilmesi Hizmet Alım İşi</t>
  </si>
  <si>
    <t>821 Ada Mimari Konsept Tasarım Projesi Hizmet Alım İşi</t>
  </si>
  <si>
    <t>İstanbul İli Fatih İlçe Geneli Cephe Yenileme Yapım İşi</t>
  </si>
  <si>
    <t>Zeyrek Bölgesi 11 Adet SMÖ Tescilli Eski Eser Yapının Basit Bakım Onarım Yapım İşi</t>
  </si>
  <si>
    <t>Silivrikapı Karakol Binası Uygulama Projeleri</t>
  </si>
  <si>
    <t>İstanbul İli, Fatih İlçesi, Molla Fenari Mahallesi 291 Ada 18 Parsel Kültür Merkezi Avan, Mimari ve Mühendislik Uygulama Projeleri ile Yaklaşık Maliyet Keşif Metraj Dosyalarının Hazırlanması Hizmet Alım İşi</t>
  </si>
  <si>
    <t>1172 ada 10 parsel ve 1173 ada 13 parselde lojman yapılarının mimari, statik, elektrik, mekanik projeleri ile yaklaşık maliyet ve keşif metraj dosyalarının hazırlanması hizmet alım işi</t>
  </si>
  <si>
    <r>
      <t xml:space="preserve">Fındıkzade Yaşam Merkezi </t>
    </r>
    <r>
      <rPr>
        <sz val="12"/>
        <color theme="1"/>
        <rFont val="Times New Roman"/>
        <family val="1"/>
        <charset val="162"/>
      </rPr>
      <t>Otopark ve Eğitim Atölyeleri Konsept Projesi Hizmet Alım İşi</t>
    </r>
    <r>
      <rPr>
        <sz val="12"/>
        <color rgb="FF252525"/>
        <rFont val="Times New Roman"/>
        <family val="1"/>
        <charset val="162"/>
      </rPr>
      <t xml:space="preserve"> </t>
    </r>
  </si>
  <si>
    <t>Karadeniz Mahallesi Yunus Emre Camii İkmal İnşaatı Yapım İşi</t>
  </si>
  <si>
    <t>2020 Yılı İçerisinde Muhtelif  Kamu Binalarının Bakım Onarımlarının Karşılanmasına Yönelik Yapım İşi</t>
  </si>
  <si>
    <t>Küçükköy Yarı Olimpik Yüzme Havuzu Yapım İşi</t>
  </si>
  <si>
    <t>2021 Yılı Gaziosmanpaşa İlçesi Genelinde Yağmursuyu Hatlarının Bakım Onarımı Ve Yeni İmalat Yapılması Işi</t>
  </si>
  <si>
    <t xml:space="preserve">İlçe Genelinde Kaldırım, Perde Duvar, Betonarme Merdiven İmalatı Ve Tamiratı Yapılması İşi </t>
  </si>
  <si>
    <t xml:space="preserve"> İlçe Genelinde Yol Ve Caddelerde Asfaltlama Çalışması Yapım İşi </t>
  </si>
  <si>
    <t xml:space="preserve">Karadeniz Mahallesi Yunusemre Camii Ne Elektronik Ledli Mahya Yapımı İle İdare Malı Mahyaların Montaj Ve Demontajlarının Yapılması İşi </t>
  </si>
  <si>
    <t xml:space="preserve">2021 Yılı İçerisinde Elektrik İhtiyacı Hasıl Olan Ve Güç Artırım İhtiyacı Olan Bina Tesis Ve Etkinlik Alanlarına Elektrik Enerjisi Ve Resmi Onaylı Sayaç Teminine Yönelik Hizmet Alım İşi </t>
  </si>
  <si>
    <t>01.07.2020</t>
  </si>
  <si>
    <t>08.07.2020</t>
  </si>
  <si>
    <t>02.01.2021</t>
  </si>
  <si>
    <t>09.04.2021</t>
  </si>
  <si>
    <t>KAĞITHANE İLÇESİ, NURTEPE MAHALLESİ, EYÜP SULTAN CADDESİ 4853 ADANIN ALTINDAKİ PARK ALANININ İÇİNDE KALAN TESCİLLİ SU HAZNELERİ RESTORASYON YAPIM İŞİ (2021 KISMI)</t>
  </si>
  <si>
    <t>KAĞITHANE İLÇESİ, ÇAĞLAYAN MAHALLESİ, 5815 ADA, 15 PARSEL SAYILI YERDE YAPILACAK OLAN CAMİİ İNŞAATININ İKSA VE HAFRİYATININ YAPILMASI İNŞAAT İŞİ</t>
  </si>
  <si>
    <t>KAĞITHANE İLÇESİ DAHİLİNDE 6306 SAYILI KANUN KAPSAMINDA RİSKLİ YAPILARIN YIKILMASI VE ENKAZININ KALDIRILMASI İŞİ</t>
  </si>
  <si>
    <t>14 KALEM BİLGİSAYAR DONANIM MALZEMELERİ ALIM İŞİ</t>
  </si>
  <si>
    <t>2021 YILI KAĞITHANE İLÇESİ SINIRLARI DAHİLİNDEKİ PARKLARIN, REFÜJLERİN, YEŞİL ALANLARIN DÜZENLENMESİ VE YENİLENMESİ İŞİ</t>
  </si>
  <si>
    <t>2021 YILI KAĞITHANE İLÇE SINIRLARI DAHİLİNDEKİ PARKLARIN, REFÜJLERİN, YEŞİL ALANLARIN YENİLENMESİ İÇİN ELEKTRİK TESİSATI, SULAMA TESİSATI VE PEYZAJ DÜZENLEMESİNDE KULLANILMAK ÜZERE MALZEME ALIM İŞİ</t>
  </si>
  <si>
    <t>2021 YILI KAĞITHANE İLÇESİ DAHİLİNDEKİ PARKLARDA BULUNAN OYUN GRUPLARI VE AÇIK ALAN SPOR ALETLERİNİN DÜZENLENMESİ VE YENİLENMESİ İŞİ</t>
  </si>
  <si>
    <t>2021 YILI KAĞITHANE İLÇE SINIRLARI DAHİLİNDEKİ CADDE VE SOKAKLARDA KULLANILMAK ÜZERE ÇİÇEKLİ MODÜLER SAKSI KONULMASI VE BAKIM ONARIM İŞİ</t>
  </si>
  <si>
    <t>2021 YILI KAĞITHANE İLÇE SINIRLARI DAHİLİNDEKİ PARK, MEYDAN VE YEŞİL ALANLARDA KULLANILMAK ÜZERE AHŞAP OTURMA ÜRÜNLERİ MAL ALIM İŞİ</t>
  </si>
  <si>
    <t>KAĞITHANE İLÇESİ DAHİLİNDE PARKLARDA VE KAVŞAKLARDA BULUNAN KAMERA VE EKİPMANININ DEĞİŞTİRİLMESİ AMACIYLA MUHTELİF TÜRDE MALZEME ALINMASI İŞİ</t>
  </si>
  <si>
    <t>2021 YILI BELEDİYEMİZ SORUMLULUĞUNDAKİ HİZMET BİNALARI VE TESİSLERİN BAKIM VE ONARIMININ YAPILMASI İŞİ</t>
  </si>
  <si>
    <t>DİJİTAL VE ANALOG TELEFON SANTRALİ - YEDEK PARÇA - TELEFON SETLERİ - CİHAZLARA AİT TECHİZATLAR SATIN ALMA, BAKIM VE ONARIM MALZEMELERİ ALIM İŞİ</t>
  </si>
  <si>
    <t>ÇOCUK KÜTÜPHANESİ VE MİLLET KIRAATHANESİ KONSEPTİNİN SULTAN SELİM MAHALLE KONAĞI İÇERİSİNE YAPILMASI İŞİ</t>
  </si>
  <si>
    <t>4 ADET KLİMALI MERCEDES BENZ ÇÖP KAMYONU ALIM İŞİ</t>
  </si>
  <si>
    <t>4 ADET MOTOSİKLET MAL ALIM İŞİ</t>
  </si>
  <si>
    <t>2021 YILI NURTEPE - MERKEZ - HAMİDİYE MAHALLELERİ YOLLARIN BAKIM - ONARIM YAPILMASI İNŞAAT İŞİ</t>
  </si>
  <si>
    <t>2021 YILI SEYRANTEPE - SULTAN SELİM -YEŞİLCE - ŞİRİNTEPE MAHALLELERİ YOLLARIN BAKIM - ONARIM YAPILMASI İNŞAAT İŞİ</t>
  </si>
  <si>
    <t>2021 YILI KAĞITHANE İLÇESİ GENELİNDE MUHTELİF YERLERDE BETONARME PERDE YAPIMI İNŞAAT İŞİ</t>
  </si>
  <si>
    <t>2021 YILI HÜRRİYET - YAHYA KEMAL - HARMANTEPE - ÇAĞLAYAN MAHALLELERİ YOLLARIN BAKIM - ONARIM YAPILMASI İNŞAAT İŞİ</t>
  </si>
  <si>
    <t>2021 YILI ÇELİKTEPE - EMNİYET EVLERİ - ORTABAYIR - TELSİZLER - GÜLTEPE MAHALLELERİ YOLLARIN BAKIM - ONARIM YAPILMASI İNŞAAT İŞİ</t>
  </si>
  <si>
    <t>2021 YILI TALATPAŞA - MEHMET AKİF ERSOY - GÜRSEL MAHALLELERİ YOLLARIN BAKIM - ONARIM YAPILMASI İNŞAAT İŞİ</t>
  </si>
  <si>
    <t>2021 YILI KAĞITHANE İLÇESİ GENELİNDE YAĞMUR SUYU KANALI YAPIM İŞİ</t>
  </si>
  <si>
    <t>2021 YILI KAĞITHANE İLÇESİ GENELİNDE MERDİVEN YOLLARIN BAKIM-ONARIM VE KAPLAMA YAPILMASI İNŞAAT İŞİ</t>
  </si>
  <si>
    <t>2021 YILI KAĞITHANE İLÇESİ 1. BÖLGE ÇEŞİTLİ CADDE VE SOKAKLARDA YOL KENARLARI VE MERDİVENLERE KORKULUK YAPILMASI İŞİ</t>
  </si>
  <si>
    <t>2021 YILI KAĞITHANE İLÇESİ 2. BÖLGE ÇEŞİTLİ CADDE VE SOKAKLARDA YOL KENARLARI VE MERDİVENLERE KORKULUK YAPILMASI İŞİ</t>
  </si>
  <si>
    <t>KAĞITHANE İLÇESİ, GÜLTEPE MAHALLESİ 6187 ADA 5 PARSELDE YAPILACAK KATLI OTOPARK VE PAZAR ALANI YAPIM İŞİ</t>
  </si>
  <si>
    <t>KAĞITHANE İLÇESİ MERKEZ MAHALLESİ MEYDAN DÜZENLEME İKMAL YAPIM İŞİ</t>
  </si>
  <si>
    <t>2021 YILI KAĞITHANE BELEDİYESİ FEN İŞLERİ MÜDÜRLÜĞÜNDE KULLANILMAK  ÜZERE İNŞAAT MALZEMELERİ ALIM İŞİ</t>
  </si>
  <si>
    <t>2021 YILI KAĞITHANE İLÇESİ DAHİLİNDE ÇEŞİTLİ CADDE VE SOKAKLARDA ASFALT KAPLAMA YAPIM İŞİ</t>
  </si>
  <si>
    <t>2021 YILI KAĞITHANE İLÇESİ GENELİNDE ÇEŞİTLİ CADDE VE SOKAKLARDA ANDEZİT VE GRANİT DÖŞEME KAPLAMASI TAMİRİ YAPILMASI İŞİ</t>
  </si>
  <si>
    <t>KAĞITHANE İLÇESİ HÜRRİYET MAHALLESİ, 5633 ADA 1 PARSELDE YAPILACAK YEŞİL  ALAN ALTI KATLI OTOPARK VE PAZAR ALANI YAPIM İŞİ (2021 YILI)</t>
  </si>
  <si>
    <t>KAĞITHANE İLÇESİ HARMANTEPE MAHALLESİ, İLKYAZ-ÜLKÜ-DALYAN-HALK SOKAKLAR ARASINDA KALAN (PLANDA PARK VE YERALTI OTOPARKI OLAN) YER VE 6663 ADA 1 PARSEL ÜZERİNDE YAPILACAK CAMİİ,KATLI OTOPARK VE ÇOCUK PARKI PROJELENDİRME HİZMET ALIM İŞİ</t>
  </si>
  <si>
    <t>KAĞITHANE İLÇESİ,SULTAN SELİM MAH. BAYRAKTAR CAD.-CANSEV SOK., NURTEPE MAH. ARI CAD., MERKEZ MAH. MEYDAN ÇEVRESİ-SADABAD CAD.-ÖMÜR SOK.-KEMERBURGAZ CAD.-ÇOBANÇEŞME CAD. PRESTİJ YOL DÜZENLEMESİ PROJELERİ HİZMET ALIM İŞİ</t>
  </si>
  <si>
    <t>2020 YILI KAĞITHANE İLÇESİ DAHİLİNDE ASFALT KAPLAMA YAPIM İŞİ (2021 YILI)</t>
  </si>
  <si>
    <t>KAĞITHANE İLÇESİ SADABAD HİZMET BİNASI RÖLÖVE PROJESİ VE SADABAD HİZMET BİNASI-KÜLTÜR MERKEZİ-NİKAH SALONU GÜÇLENDİRME PROJELERİNİN HAZIRLANMASI HİZMET ALIM İŞİ</t>
  </si>
  <si>
    <t>ULAŞTIRM</t>
  </si>
  <si>
    <t>İSMETPAŞA CAD VE DEVAMI OLAN 1331 SK, FEVZİ ÇAKMAK CAD, ADEM YAVUZ CAD VE ORHANGAZİ CADDELERİNDE TEDAŞ TİP ONAYI ALINMIŞ DEKORATİF AYD DİREKLERİ KULLANILARAK AYDINLATMA TESİSİ YAPILMASI VE MUHTELİF YERLERDEKİ EKSİK AYDINLATMALARIN TAMAMLANMASI İŞİ</t>
  </si>
  <si>
    <t>İSMETPAŞA MAHALLESİ TAZİYE EVİ VE BELEDİYE HİZMET BİNASI YAPIM İŞİ</t>
  </si>
  <si>
    <t>UĞUR MUMCU TAZİYE EVİ VE HİZMET BİNASI YAPIM İŞİ</t>
  </si>
  <si>
    <t>ŞEHİT EYÜP GÖNEN PRESTİJ CADDE DÜZENLEMESİ YAPIM İŞİ</t>
  </si>
  <si>
    <t>2021 YILI İDARE MALI MUAYENE BACA KAPAK YAĞMURSUYU IZGARA TAKIMLARININ ASFALT SEVİYESİNE GETİRİLMESİ</t>
  </si>
  <si>
    <t>HAZIR BETON ALIMI</t>
  </si>
  <si>
    <t>İLÇE GENELİNDE KULLANILMAK ÜZERE 2021 YILI İNŞAAT MALZEMESİ ALIMI İŞİ</t>
  </si>
  <si>
    <t>İLÇE SINIRLARINDA BULUNAN KAMU HİZMET BİNALARININ BAKIM ONARIMI VE ÇEŞİTLİ YOLLARIN ASFALT BAKIM VE ONARIMI</t>
  </si>
  <si>
    <t>İLÇE SINIRLARI DAHİLİNDE BULUNAN PARK VE BAHÇELERİN BAKIM VE ONARIMININ YAPILMASI</t>
  </si>
  <si>
    <t>BEYLİKDÜZÜ İLÇESİ DAHİLİNDE ASFALT YAMA, YAĞMURSUYU KANALI, BORDÜR TRETUAR BAKIM ONARIM VE MÜTEFERRİK İNŞAAT İŞİ</t>
  </si>
  <si>
    <t>GÜRPINAR MAH. 1276 ADA 12 PARSEL KAMU HİZMET BİNASI YAP.İŞİ</t>
  </si>
  <si>
    <t>BEYLİKDÜZÜ BELEDİYESİ 2020-2021 YILI İDARİ BİNALARIN MUHTELİF BAKIM YAPIM VE ONARIM İŞİ</t>
  </si>
  <si>
    <t>YAKUPLU MAH. 740 ADA 1 PARSEL KÜLTÜR MERKEZİ VE KAPALI PAZAR KABA İNŞAAT YAPILMASI İŞİ</t>
  </si>
  <si>
    <t>BEYLİKDÜZÜ BELEDİYESİ 2020/2021 KAMU VE OKUL BİNALARININ GENEL BAKIM ONARIM İŞİ</t>
  </si>
  <si>
    <t>2021 YILI SOĞUK YOL ÇİZGİ BOYASI İLE YOL ÇİZGİLERİNİN ÇİZİLMESİ YAYA GEÇİTLE. YAYA LOGOSUNUN ÇİZİLMESİ İŞİ</t>
  </si>
  <si>
    <t>2021 YILINDAN PARK VE BAHÇELER MÜDÜRLÜĞÜ MARANGOZ ATÖLYESİ KENT MOBİLYASI YAPIMI İÇİN MALZEME ALIMI İŞİ</t>
  </si>
  <si>
    <t>'BEYLİKDÜZÜ BELEDİYESİ PARK VE BAHÇELER MÜDÜRLÜĞÜ 2021-2022 YILLARINDA ÇALIŞTIRILMAK ÜZERE ARAÇ VE İŞ MAKİNESİ KİRALANMASI ' İŞİ</t>
  </si>
  <si>
    <t>2021 YILI PARK VE BAHÇELER MÜDÜRLÜĞÜ MUHTELİF YAPIM İŞLERİ</t>
  </si>
  <si>
    <t>2021 YILI BEYLİKDÜZÜ BELEDİYESİ İLÇESİ 1. BÖLGE SINIRLARINDAKİ MUHTELİF PARK,YEŞİL ALAN VE PİKNİK ALANLARININ REVİZYONU VE PEYZAJ YAPIM İŞİ</t>
  </si>
  <si>
    <t>2021 YILI BEYLİKDÜZÜ BELEDİYESİ İLÇESİ 2.BÖLGE SINIRLARINDAKİ MUHTELİF PARK,YEŞİL ALAN VE PİKNİK ALANLARININ REVİZYONU VE PEYZAJ YAPIM İŞİ</t>
  </si>
  <si>
    <t>18.01.2020</t>
  </si>
  <si>
    <t>02.01.2022</t>
  </si>
  <si>
    <t>Başakşehir Belediye Başkanlığının 09/04/2021 tarih ve 49369 sayılı yazısı ile belirtilen kapsamda yatırım projesi bulunmadığı bildirilmiştir.</t>
  </si>
  <si>
    <t>Yatırım Projesi bulunmamaktadır.</t>
  </si>
  <si>
    <t>Şile Belediye Başkanlığının 06/04/2021 tarih ve 3425 sayılı yazısı ile yatırım projesi bulunmadığı bildirilmiştir.</t>
  </si>
  <si>
    <t>Adalar Belediye Başkanlığının 08/04/2021 tarih ve 2728 sayılı yazısı ile belirtilen kapsamda yatırım projesi bulunmadığı bildirilmiştir.</t>
  </si>
  <si>
    <t>RÖLÖVE VE ANITLAR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</si>
</sst>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 _T_L_-;\-* #,##0.00\ _T_L_-;_-* &quot;-&quot;??\ _T_L_-;_-@_-"/>
    <numFmt numFmtId="165" formatCode="dd\/mm\/yyyy"/>
    <numFmt numFmtId="166" formatCode="_-* #,##0\ _T_L_-;\-* #,##0\ _T_L_-;_-* &quot;-&quot;??\ _T_L_-;_-@_-"/>
    <numFmt numFmtId="167" formatCode="#,##0.0"/>
    <numFmt numFmtId="168" formatCode="dd&quot;-&quot;mm&quot;-&quot;yyyy"/>
    <numFmt numFmtId="169" formatCode="_-* #,##0_-;\-* #,##0_-;_-* &quot;-&quot;??_-;_-@_-"/>
    <numFmt numFmtId="170" formatCode="#,##0;[Red]#,##0"/>
    <numFmt numFmtId="171" formatCode="00000"/>
    <numFmt numFmtId="172" formatCode="dd/mm/yyyy;@"/>
    <numFmt numFmtId="173" formatCode="#,##0.00&quot; TL&quot;;\-#,##0.00&quot; TL&quot;"/>
    <numFmt numFmtId="174" formatCode="dd/mm/yyyy"/>
    <numFmt numFmtId="175" formatCode="[$₺-41F]#,##0.00;\-[$₺-41F]#,##0.00"/>
    <numFmt numFmtId="176" formatCode="[$-41F]dd/mm/yyyy"/>
    <numFmt numFmtId="177" formatCode="#,##0_ ;\-#,##0\ "/>
  </numFmts>
  <fonts count="72">
    <font>
      <sz val="11"/>
      <color theme="1"/>
      <name val="Calibri"/>
      <family val="2"/>
      <charset val="162"/>
      <scheme val="minor"/>
    </font>
    <font>
      <sz val="10"/>
      <color theme="1"/>
      <name val="Times New Roman"/>
      <family val="1"/>
      <charset val="162"/>
    </font>
    <font>
      <sz val="8"/>
      <color theme="1"/>
      <name val="Times New Roman"/>
      <family val="1"/>
      <charset val="162"/>
    </font>
    <font>
      <sz val="8"/>
      <color rgb="FF000000"/>
      <name val="Times New Roman"/>
      <family val="1"/>
      <charset val="162"/>
    </font>
    <font>
      <b/>
      <sz val="26"/>
      <color theme="0"/>
      <name val="Times New Roman"/>
      <family val="1"/>
      <charset val="162"/>
    </font>
    <font>
      <b/>
      <sz val="12"/>
      <color theme="1"/>
      <name val="Times New Roman"/>
      <family val="1"/>
      <charset val="162"/>
    </font>
    <font>
      <b/>
      <sz val="12"/>
      <name val="Times New Roman"/>
      <family val="1"/>
      <charset val="162"/>
    </font>
    <font>
      <sz val="11"/>
      <color theme="1"/>
      <name val="Times New Roman"/>
      <family val="1"/>
      <charset val="162"/>
    </font>
    <font>
      <sz val="11"/>
      <color theme="1"/>
      <name val="Calibri"/>
      <family val="2"/>
      <charset val="162"/>
      <scheme val="minor"/>
    </font>
    <font>
      <b/>
      <sz val="12"/>
      <color theme="1"/>
      <name val="Calibri"/>
      <family val="2"/>
      <charset val="162"/>
      <scheme val="minor"/>
    </font>
    <font>
      <sz val="12"/>
      <color theme="1"/>
      <name val="Times New Roman"/>
      <family val="1"/>
      <charset val="162"/>
    </font>
    <font>
      <sz val="12"/>
      <color theme="1"/>
      <name val="Calibri"/>
      <family val="2"/>
      <charset val="162"/>
      <scheme val="minor"/>
    </font>
    <font>
      <b/>
      <sz val="11"/>
      <color theme="1"/>
      <name val="Calibri"/>
      <family val="2"/>
      <charset val="162"/>
      <scheme val="minor"/>
    </font>
    <font>
      <b/>
      <sz val="11"/>
      <color theme="1"/>
      <name val="Times New Roman"/>
      <family val="1"/>
      <charset val="162"/>
    </font>
    <font>
      <b/>
      <sz val="12"/>
      <color indexed="8"/>
      <name val="Times New Roman"/>
      <family val="1"/>
      <charset val="162"/>
    </font>
    <font>
      <b/>
      <sz val="9"/>
      <color indexed="81"/>
      <name val="Tahoma"/>
      <family val="2"/>
      <charset val="162"/>
    </font>
    <font>
      <sz val="9"/>
      <color indexed="81"/>
      <name val="Tahoma"/>
      <family val="2"/>
      <charset val="162"/>
    </font>
    <font>
      <sz val="10"/>
      <color indexed="8"/>
      <name val="ARIAL"/>
      <charset val="1"/>
    </font>
    <font>
      <sz val="10"/>
      <name val="Arial"/>
      <family val="2"/>
      <charset val="162"/>
    </font>
    <font>
      <sz val="11"/>
      <color rgb="FF9C0006"/>
      <name val="Calibri"/>
      <family val="2"/>
      <charset val="162"/>
    </font>
    <font>
      <b/>
      <sz val="10"/>
      <color theme="1"/>
      <name val="Times New Roman"/>
      <family val="1"/>
      <charset val="162"/>
    </font>
    <font>
      <b/>
      <sz val="10"/>
      <name val="Times New Roman"/>
      <family val="1"/>
      <charset val="162"/>
    </font>
    <font>
      <sz val="10"/>
      <color theme="1"/>
      <name val="Calibri"/>
      <family val="2"/>
      <charset val="162"/>
      <scheme val="minor"/>
    </font>
    <font>
      <sz val="14"/>
      <color theme="1"/>
      <name val="Calibri"/>
      <family val="2"/>
      <charset val="162"/>
      <scheme val="minor"/>
    </font>
    <font>
      <b/>
      <sz val="10"/>
      <color theme="1"/>
      <name val="Calibri"/>
      <family val="2"/>
      <charset val="162"/>
      <scheme val="minor"/>
    </font>
    <font>
      <b/>
      <sz val="14"/>
      <color theme="0"/>
      <name val="Times New Roman"/>
      <family val="1"/>
      <charset val="162"/>
    </font>
    <font>
      <b/>
      <sz val="12"/>
      <color theme="0"/>
      <name val="Times New Roman"/>
      <family val="1"/>
      <charset val="162"/>
    </font>
    <font>
      <b/>
      <sz val="14"/>
      <color theme="1"/>
      <name val="Calibri"/>
      <family val="2"/>
      <charset val="162"/>
      <scheme val="minor"/>
    </font>
    <font>
      <sz val="11"/>
      <color theme="1"/>
      <name val="Calibri"/>
      <family val="2"/>
      <scheme val="minor"/>
    </font>
    <font>
      <b/>
      <sz val="16"/>
      <color theme="0"/>
      <name val="Times New Roman"/>
      <family val="1"/>
      <charset val="162"/>
    </font>
    <font>
      <sz val="14"/>
      <color theme="1"/>
      <name val="Times New Roman"/>
      <family val="1"/>
      <charset val="162"/>
    </font>
    <font>
      <b/>
      <sz val="22"/>
      <color theme="0"/>
      <name val="Times New Roman"/>
      <family val="1"/>
      <charset val="162"/>
    </font>
    <font>
      <sz val="22"/>
      <color theme="1"/>
      <name val="Calibri"/>
      <family val="2"/>
      <charset val="162"/>
      <scheme val="minor"/>
    </font>
    <font>
      <b/>
      <sz val="22"/>
      <color theme="1"/>
      <name val="Times New Roman"/>
      <family val="1"/>
      <charset val="162"/>
    </font>
    <font>
      <sz val="10"/>
      <color rgb="FF000000"/>
      <name val="Times New Roman"/>
      <family val="1"/>
      <charset val="162"/>
    </font>
    <font>
      <sz val="10"/>
      <color indexed="8"/>
      <name val="Times New Roman"/>
      <family val="1"/>
    </font>
    <font>
      <b/>
      <sz val="18"/>
      <color theme="0"/>
      <name val="Calibri"/>
      <family val="2"/>
      <charset val="162"/>
      <scheme val="minor"/>
    </font>
    <font>
      <b/>
      <sz val="10"/>
      <color theme="0"/>
      <name val="Times New Roman"/>
      <family val="1"/>
      <charset val="162"/>
    </font>
    <font>
      <sz val="12"/>
      <name val="Times New Roman"/>
      <family val="1"/>
      <charset val="162"/>
    </font>
    <font>
      <sz val="12"/>
      <name val="Arial"/>
      <family val="2"/>
      <charset val="162"/>
    </font>
    <font>
      <sz val="12"/>
      <color rgb="FFFF0000"/>
      <name val="Arial"/>
      <family val="2"/>
      <charset val="162"/>
    </font>
    <font>
      <sz val="12"/>
      <color indexed="8"/>
      <name val="Times New Roman"/>
      <family val="1"/>
      <charset val="162"/>
    </font>
    <font>
      <sz val="12"/>
      <color rgb="FF000000"/>
      <name val="Times New Roman"/>
      <family val="1"/>
      <charset val="162"/>
    </font>
    <font>
      <b/>
      <sz val="22"/>
      <name val="Times New Roman"/>
      <family val="1"/>
      <charset val="162"/>
    </font>
    <font>
      <b/>
      <sz val="16"/>
      <name val="Times New Roman"/>
      <family val="1"/>
      <charset val="162"/>
    </font>
    <font>
      <b/>
      <sz val="11"/>
      <color theme="0"/>
      <name val="Times New Roman"/>
      <family val="1"/>
      <charset val="162"/>
    </font>
    <font>
      <b/>
      <sz val="28"/>
      <color theme="0"/>
      <name val="Times New Roman"/>
      <family val="1"/>
      <charset val="162"/>
    </font>
    <font>
      <b/>
      <sz val="26"/>
      <color theme="1"/>
      <name val="Times New Roman"/>
      <family val="1"/>
      <charset val="162"/>
    </font>
    <font>
      <b/>
      <sz val="26"/>
      <color indexed="8"/>
      <name val="Times New Roman"/>
      <family val="1"/>
      <charset val="162"/>
    </font>
    <font>
      <sz val="12"/>
      <color theme="1"/>
      <name val="Arial Tur"/>
      <charset val="162"/>
    </font>
    <font>
      <b/>
      <sz val="12"/>
      <name val="Arial"/>
      <family val="2"/>
      <charset val="162"/>
    </font>
    <font>
      <sz val="12"/>
      <color indexed="8"/>
      <name val="Arial"/>
      <family val="2"/>
      <charset val="162"/>
    </font>
    <font>
      <b/>
      <sz val="12"/>
      <color indexed="8"/>
      <name val="Arial"/>
      <family val="2"/>
      <charset val="162"/>
    </font>
    <font>
      <sz val="12"/>
      <color rgb="FF000000"/>
      <name val="Arial"/>
      <family val="2"/>
      <charset val="162"/>
    </font>
    <font>
      <sz val="12"/>
      <name val="Arial Tur"/>
      <family val="2"/>
      <charset val="162"/>
    </font>
    <font>
      <sz val="12"/>
      <color theme="1"/>
      <name val="Times"/>
      <family val="1"/>
      <charset val="162"/>
    </font>
    <font>
      <sz val="12"/>
      <color rgb="FF000000"/>
      <name val="Times"/>
      <family val="1"/>
      <charset val="162"/>
    </font>
    <font>
      <sz val="12"/>
      <color indexed="64"/>
      <name val="Times New Roman"/>
      <family val="1"/>
      <charset val="162"/>
    </font>
    <font>
      <sz val="12"/>
      <color rgb="FF222222"/>
      <name val="Times New Roman"/>
      <family val="1"/>
      <charset val="162"/>
    </font>
    <font>
      <sz val="12"/>
      <color indexed="8"/>
      <name val="Times New Roman"/>
      <family val="1"/>
    </font>
    <font>
      <b/>
      <sz val="16"/>
      <color theme="1"/>
      <name val="Times New Roman"/>
      <family val="1"/>
      <charset val="162"/>
    </font>
    <font>
      <sz val="16"/>
      <color theme="1"/>
      <name val="Calibri"/>
      <family val="2"/>
      <charset val="162"/>
      <scheme val="minor"/>
    </font>
    <font>
      <b/>
      <sz val="14"/>
      <color theme="1"/>
      <name val="Times New Roman"/>
      <family val="1"/>
      <charset val="162"/>
    </font>
    <font>
      <sz val="18"/>
      <color theme="1"/>
      <name val="Calibri"/>
      <family val="2"/>
      <charset val="162"/>
      <scheme val="minor"/>
    </font>
    <font>
      <b/>
      <sz val="18"/>
      <color theme="1"/>
      <name val="Times New Roman"/>
      <family val="1"/>
      <charset val="162"/>
    </font>
    <font>
      <sz val="20"/>
      <color theme="1"/>
      <name val="Calibri"/>
      <family val="2"/>
      <charset val="162"/>
      <scheme val="minor"/>
    </font>
    <font>
      <sz val="48"/>
      <color theme="1"/>
      <name val="Times New Roman"/>
      <family val="1"/>
      <charset val="162"/>
    </font>
    <font>
      <b/>
      <sz val="20"/>
      <color theme="1"/>
      <name val="Times New Roman"/>
      <family val="1"/>
      <charset val="162"/>
    </font>
    <font>
      <sz val="12"/>
      <name val="Calibri"/>
      <family val="2"/>
      <charset val="162"/>
      <scheme val="minor"/>
    </font>
    <font>
      <sz val="11"/>
      <name val="Calibri"/>
      <family val="2"/>
      <charset val="162"/>
      <scheme val="minor"/>
    </font>
    <font>
      <sz val="12"/>
      <color rgb="FF252525"/>
      <name val="Times New Roman"/>
      <family val="1"/>
      <charset val="162"/>
    </font>
    <font>
      <sz val="12"/>
      <color theme="1"/>
      <name val="Calibri"/>
      <family val="2"/>
      <charset val="162"/>
    </font>
  </fonts>
  <fills count="1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rgb="FFB00000"/>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C7CE"/>
        <bgColor rgb="FFCCCCFF"/>
      </patternFill>
    </fill>
    <fill>
      <patternFill patternType="solid">
        <fgColor theme="8" tint="-0.499984740745262"/>
        <bgColor indexed="64"/>
      </patternFill>
    </fill>
    <fill>
      <patternFill patternType="solid">
        <fgColor rgb="FF9A000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0"/>
        <bgColor rgb="FFFFFFFF"/>
      </patternFill>
    </fill>
    <fill>
      <patternFill patternType="solid">
        <fgColor rgb="FFFFFFFF"/>
        <bgColor rgb="FFFFFFCC"/>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style="medium">
        <color indexed="64"/>
      </left>
      <right style="medium">
        <color indexed="64"/>
      </right>
      <top/>
      <bottom/>
      <diagonal/>
    </border>
    <border>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s>
  <cellStyleXfs count="8">
    <xf numFmtId="0" fontId="0" fillId="0" borderId="0"/>
    <xf numFmtId="164" fontId="8" fillId="0" borderId="0" applyFont="0" applyFill="0" applyBorder="0" applyAlignment="0" applyProtection="0"/>
    <xf numFmtId="0" fontId="17" fillId="0" borderId="0">
      <alignment vertical="top"/>
    </xf>
    <xf numFmtId="0" fontId="18" fillId="0" borderId="0"/>
    <xf numFmtId="0" fontId="18" fillId="0" borderId="0"/>
    <xf numFmtId="0" fontId="19" fillId="9" borderId="0" applyBorder="0" applyProtection="0"/>
    <xf numFmtId="0" fontId="28" fillId="0" borderId="0"/>
    <xf numFmtId="0" fontId="18" fillId="0" borderId="0"/>
  </cellStyleXfs>
  <cellXfs count="784">
    <xf numFmtId="0" fontId="0" fillId="0" borderId="0" xfId="0"/>
    <xf numFmtId="0" fontId="1" fillId="0" borderId="0" xfId="0" applyFont="1" applyAlignment="1">
      <alignment horizontal="center" vertical="center"/>
    </xf>
    <xf numFmtId="2" fontId="0" fillId="0" borderId="0" xfId="0" applyNumberFormat="1"/>
    <xf numFmtId="0" fontId="0" fillId="0" borderId="0" xfId="0" applyNumberFormat="1"/>
    <xf numFmtId="0" fontId="5" fillId="0" borderId="0" xfId="0" applyFont="1" applyAlignment="1">
      <alignment horizontal="center" vertical="center"/>
    </xf>
    <xf numFmtId="0" fontId="5" fillId="0" borderId="0" xfId="0" applyFont="1"/>
    <xf numFmtId="0" fontId="9" fillId="0" borderId="0" xfId="0" applyFont="1"/>
    <xf numFmtId="0" fontId="11" fillId="0" borderId="0" xfId="0" applyFont="1"/>
    <xf numFmtId="0" fontId="0" fillId="0" borderId="0" xfId="0" applyAlignment="1">
      <alignment horizontal="center"/>
    </xf>
    <xf numFmtId="0" fontId="2"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2" fillId="0" borderId="0" xfId="0" applyFont="1" applyAlignment="1">
      <alignment horizontal="right" vertical="center"/>
    </xf>
    <xf numFmtId="0" fontId="0" fillId="0" borderId="0" xfId="0" applyFont="1" applyAlignment="1">
      <alignment horizontal="center"/>
    </xf>
    <xf numFmtId="0" fontId="10" fillId="0" borderId="0" xfId="0" applyFont="1"/>
    <xf numFmtId="0" fontId="0" fillId="0" borderId="0" xfId="0" applyAlignment="1">
      <alignment horizontal="left"/>
    </xf>
    <xf numFmtId="0" fontId="0" fillId="0" borderId="0" xfId="0" applyAlignment="1">
      <alignment vertical="center"/>
    </xf>
    <xf numFmtId="0" fontId="2" fillId="0" borderId="0" xfId="0" applyFont="1"/>
    <xf numFmtId="0" fontId="5" fillId="0" borderId="0" xfId="0" applyFont="1" applyAlignment="1">
      <alignment horizontal="left" vertical="center"/>
    </xf>
    <xf numFmtId="0" fontId="9" fillId="0" borderId="0" xfId="0" applyFont="1" applyAlignment="1">
      <alignment horizontal="left"/>
    </xf>
    <xf numFmtId="0" fontId="12" fillId="0" borderId="0" xfId="0" applyFont="1" applyAlignment="1">
      <alignment horizontal="left"/>
    </xf>
    <xf numFmtId="0" fontId="9" fillId="0" borderId="0" xfId="0" applyFont="1" applyAlignment="1">
      <alignment horizontal="right" vertical="center"/>
    </xf>
    <xf numFmtId="0" fontId="9" fillId="0" borderId="0" xfId="0" applyFont="1" applyBorder="1" applyAlignment="1">
      <alignment vertical="center"/>
    </xf>
    <xf numFmtId="0" fontId="0" fillId="2" borderId="0" xfId="0" applyFill="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NumberFormat="1" applyAlignment="1">
      <alignment horizontal="center"/>
    </xf>
    <xf numFmtId="2" fontId="0" fillId="0" borderId="0" xfId="0" applyNumberFormat="1" applyAlignment="1">
      <alignment horizontal="center"/>
    </xf>
    <xf numFmtId="0" fontId="20" fillId="0" borderId="0" xfId="0" applyFont="1" applyBorder="1" applyAlignment="1">
      <alignment horizontal="center" vertical="center"/>
    </xf>
    <xf numFmtId="0" fontId="22" fillId="0" borderId="0" xfId="0" applyFont="1"/>
    <xf numFmtId="0" fontId="23" fillId="0" borderId="0" xfId="0" applyFont="1"/>
    <xf numFmtId="0" fontId="24" fillId="0" borderId="0" xfId="0" applyFont="1"/>
    <xf numFmtId="0" fontId="25" fillId="10" borderId="25" xfId="0" applyFont="1" applyFill="1" applyBorder="1" applyAlignment="1">
      <alignment horizontal="center" vertical="center"/>
    </xf>
    <xf numFmtId="0" fontId="26" fillId="3" borderId="17" xfId="0" applyFont="1" applyFill="1" applyBorder="1" applyAlignment="1">
      <alignment horizontal="center" vertical="center" wrapText="1"/>
    </xf>
    <xf numFmtId="0" fontId="26" fillId="3" borderId="17" xfId="0" applyNumberFormat="1" applyFont="1" applyFill="1" applyBorder="1" applyAlignment="1">
      <alignment horizontal="center" vertical="center" wrapText="1"/>
    </xf>
    <xf numFmtId="2" fontId="26" fillId="3" borderId="17" xfId="0" applyNumberFormat="1" applyFont="1" applyFill="1" applyBorder="1" applyAlignment="1">
      <alignment horizontal="center" vertical="center" wrapText="1"/>
    </xf>
    <xf numFmtId="0" fontId="27" fillId="0" borderId="0" xfId="0" applyFont="1" applyAlignment="1">
      <alignment vertical="center"/>
    </xf>
    <xf numFmtId="0" fontId="25" fillId="10" borderId="11" xfId="0" applyFont="1" applyFill="1" applyBorder="1" applyAlignment="1">
      <alignment vertical="center"/>
    </xf>
    <xf numFmtId="0" fontId="25" fillId="10" borderId="29"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1" xfId="0" applyFont="1" applyFill="1" applyBorder="1" applyAlignment="1">
      <alignment horizontal="center" vertical="center" wrapText="1"/>
    </xf>
    <xf numFmtId="0" fontId="26" fillId="3" borderId="1" xfId="0" applyNumberFormat="1" applyFont="1" applyFill="1" applyBorder="1" applyAlignment="1">
      <alignment horizontal="center" vertical="center"/>
    </xf>
    <xf numFmtId="2" fontId="26" fillId="3" borderId="1" xfId="0" applyNumberFormat="1" applyFont="1" applyFill="1" applyBorder="1" applyAlignment="1">
      <alignment horizontal="center" vertical="center" wrapText="1"/>
    </xf>
    <xf numFmtId="0" fontId="26" fillId="3" borderId="10" xfId="0" applyFont="1" applyFill="1" applyBorder="1" applyAlignment="1">
      <alignment horizontal="center" vertical="center"/>
    </xf>
    <xf numFmtId="0" fontId="10" fillId="0" borderId="0" xfId="0" applyFont="1" applyBorder="1" applyAlignment="1">
      <alignment horizontal="center" vertical="center"/>
    </xf>
    <xf numFmtId="0" fontId="20" fillId="2" borderId="7" xfId="0" applyFont="1" applyFill="1" applyBorder="1" applyAlignment="1">
      <alignment horizontal="center" vertical="center"/>
    </xf>
    <xf numFmtId="0" fontId="1" fillId="2" borderId="0" xfId="0" applyFont="1" applyFill="1" applyAlignment="1">
      <alignment horizontal="center" vertical="center"/>
    </xf>
    <xf numFmtId="0" fontId="20" fillId="2" borderId="9" xfId="0" applyFont="1" applyFill="1" applyBorder="1" applyAlignment="1">
      <alignment horizontal="center" vertical="center"/>
    </xf>
    <xf numFmtId="0" fontId="22" fillId="2" borderId="0" xfId="0" applyFont="1" applyFill="1"/>
    <xf numFmtId="0" fontId="24" fillId="0" borderId="0" xfId="0" applyFont="1" applyAlignment="1">
      <alignment horizontal="left"/>
    </xf>
    <xf numFmtId="0" fontId="24" fillId="2" borderId="0" xfId="0" applyFont="1" applyFill="1" applyAlignment="1">
      <alignment horizontal="left" vertical="center"/>
    </xf>
    <xf numFmtId="0" fontId="22" fillId="0" borderId="0" xfId="0" applyFont="1" applyAlignment="1">
      <alignment horizontal="left"/>
    </xf>
    <xf numFmtId="0" fontId="22" fillId="2" borderId="0" xfId="0" applyFont="1" applyFill="1" applyAlignment="1">
      <alignment horizontal="left"/>
    </xf>
    <xf numFmtId="164" fontId="0" fillId="0" borderId="0" xfId="1" applyFont="1" applyAlignment="1">
      <alignment horizontal="center"/>
    </xf>
    <xf numFmtId="164" fontId="0" fillId="0" borderId="0" xfId="1" applyFont="1"/>
    <xf numFmtId="3" fontId="0" fillId="0" borderId="0" xfId="0" applyNumberFormat="1"/>
    <xf numFmtId="0" fontId="9" fillId="2" borderId="0" xfId="0" applyFont="1" applyFill="1"/>
    <xf numFmtId="0" fontId="5" fillId="2" borderId="0" xfId="0" applyFont="1" applyFill="1"/>
    <xf numFmtId="0" fontId="5" fillId="2" borderId="0" xfId="0" applyFont="1" applyFill="1" applyAlignment="1">
      <alignment horizontal="center" vertical="center"/>
    </xf>
    <xf numFmtId="0" fontId="5" fillId="12" borderId="27" xfId="6" applyFont="1" applyFill="1" applyBorder="1" applyAlignment="1">
      <alignment horizontal="center" vertical="center" wrapText="1"/>
    </xf>
    <xf numFmtId="0" fontId="5" fillId="12" borderId="25" xfId="6" applyFont="1" applyFill="1" applyBorder="1" applyAlignment="1">
      <alignment horizontal="center" vertical="center" wrapText="1"/>
    </xf>
    <xf numFmtId="4" fontId="5" fillId="12" borderId="25" xfId="6" applyNumberFormat="1" applyFont="1" applyFill="1" applyBorder="1" applyAlignment="1">
      <alignment horizontal="center" vertical="center" wrapText="1"/>
    </xf>
    <xf numFmtId="4" fontId="5" fillId="12" borderId="26" xfId="6" applyNumberFormat="1" applyFont="1" applyFill="1" applyBorder="1" applyAlignment="1">
      <alignment horizontal="center" vertical="center" wrapText="1"/>
    </xf>
    <xf numFmtId="0" fontId="25" fillId="10" borderId="27" xfId="6" applyFont="1" applyFill="1" applyBorder="1" applyAlignment="1">
      <alignment horizontal="center" vertical="center" wrapText="1"/>
    </xf>
    <xf numFmtId="3" fontId="25" fillId="10" borderId="25" xfId="6" applyNumberFormat="1" applyFont="1" applyFill="1" applyBorder="1" applyAlignment="1">
      <alignment horizontal="center" vertical="center" wrapText="1"/>
    </xf>
    <xf numFmtId="0" fontId="32" fillId="0" borderId="0" xfId="0" applyFont="1"/>
    <xf numFmtId="0" fontId="33" fillId="0" borderId="0" xfId="0" applyFont="1" applyAlignment="1">
      <alignment horizontal="center" vertical="center"/>
    </xf>
    <xf numFmtId="0" fontId="12" fillId="0" borderId="0" xfId="0" applyFont="1" applyAlignment="1">
      <alignment vertical="center"/>
    </xf>
    <xf numFmtId="0" fontId="26" fillId="3" borderId="22" xfId="0" applyFont="1" applyFill="1" applyBorder="1" applyAlignment="1">
      <alignment horizontal="center" vertical="center"/>
    </xf>
    <xf numFmtId="0" fontId="26" fillId="3" borderId="24"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5" xfId="0" applyFont="1" applyFill="1" applyBorder="1" applyAlignment="1">
      <alignment vertical="center"/>
    </xf>
    <xf numFmtId="0" fontId="20" fillId="0" borderId="0" xfId="0" applyFont="1" applyFill="1" applyAlignment="1">
      <alignment horizontal="center" vertical="center"/>
    </xf>
    <xf numFmtId="0" fontId="21" fillId="0" borderId="9" xfId="0" applyFont="1" applyFill="1" applyBorder="1" applyAlignment="1">
      <alignment horizontal="center"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1" fillId="0" borderId="0" xfId="0" applyFont="1" applyFill="1" applyAlignment="1">
      <alignment horizontal="center"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Fill="1" applyAlignment="1">
      <alignment vertical="center"/>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1" fillId="0" borderId="0" xfId="0" applyFont="1" applyFill="1" applyAlignment="1">
      <alignment vertical="center"/>
    </xf>
    <xf numFmtId="0" fontId="21" fillId="0" borderId="1" xfId="3" applyFont="1" applyFill="1" applyBorder="1" applyAlignment="1">
      <alignment vertical="center" wrapText="1"/>
    </xf>
    <xf numFmtId="0" fontId="21" fillId="0" borderId="1" xfId="3" applyFont="1" applyFill="1" applyBorder="1" applyAlignment="1">
      <alignment horizontal="center" vertical="center"/>
    </xf>
    <xf numFmtId="0" fontId="1" fillId="0" borderId="0" xfId="0" applyFont="1" applyFill="1" applyBorder="1" applyAlignment="1">
      <alignment vertical="center"/>
    </xf>
    <xf numFmtId="0" fontId="20" fillId="0" borderId="1" xfId="0" applyFont="1" applyFill="1" applyBorder="1" applyAlignment="1">
      <alignment horizontal="left" vertical="center"/>
    </xf>
    <xf numFmtId="0" fontId="5" fillId="0" borderId="0" xfId="0" applyFont="1" applyFill="1" applyAlignment="1">
      <alignment vertical="center"/>
    </xf>
    <xf numFmtId="0" fontId="9" fillId="0" borderId="0" xfId="0" applyFont="1" applyFill="1"/>
    <xf numFmtId="0" fontId="0" fillId="0" borderId="0" xfId="0" applyFill="1"/>
    <xf numFmtId="0" fontId="5" fillId="0" borderId="0" xfId="0" applyFont="1" applyFill="1"/>
    <xf numFmtId="0" fontId="9" fillId="0" borderId="0" xfId="0" applyFont="1" applyFill="1" applyAlignment="1">
      <alignment horizontal="right" vertical="center"/>
    </xf>
    <xf numFmtId="0" fontId="0" fillId="0" borderId="0" xfId="0" applyFill="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xf numFmtId="0" fontId="0" fillId="0" borderId="0" xfId="0" applyFill="1" applyAlignment="1">
      <alignment vertical="center"/>
    </xf>
    <xf numFmtId="0" fontId="6" fillId="4" borderId="11" xfId="0" applyFont="1" applyFill="1" applyBorder="1" applyAlignment="1">
      <alignment horizontal="left" vertical="center"/>
    </xf>
    <xf numFmtId="0" fontId="10" fillId="0" borderId="0" xfId="0" applyFont="1" applyAlignment="1">
      <alignment horizontal="center" vertical="center"/>
    </xf>
    <xf numFmtId="0" fontId="1" fillId="0" borderId="0" xfId="0" applyFont="1" applyAlignment="1">
      <alignment vertical="center"/>
    </xf>
    <xf numFmtId="0" fontId="22" fillId="0" borderId="0" xfId="0" applyFont="1" applyAlignment="1">
      <alignment vertical="center"/>
    </xf>
    <xf numFmtId="0" fontId="1" fillId="2" borderId="1" xfId="0" applyFont="1" applyFill="1" applyBorder="1" applyAlignment="1">
      <alignment horizontal="center" vertical="center" wrapText="1"/>
    </xf>
    <xf numFmtId="0" fontId="1" fillId="0" borderId="0" xfId="0" applyFont="1"/>
    <xf numFmtId="0" fontId="1" fillId="2" borderId="1" xfId="0" applyFont="1" applyFill="1" applyBorder="1" applyAlignment="1">
      <alignment horizontal="center" vertical="center"/>
    </xf>
    <xf numFmtId="0" fontId="34" fillId="7" borderId="1" xfId="0" applyFont="1" applyFill="1" applyBorder="1" applyAlignment="1">
      <alignment horizontal="center" vertical="center" wrapText="1"/>
    </xf>
    <xf numFmtId="0" fontId="20" fillId="0" borderId="0" xfId="0" applyFont="1" applyAlignment="1">
      <alignment horizontal="center" vertical="center"/>
    </xf>
    <xf numFmtId="0" fontId="22" fillId="0" borderId="0" xfId="0" applyFont="1" applyAlignment="1">
      <alignment horizontal="center" vertical="center"/>
    </xf>
    <xf numFmtId="0" fontId="36" fillId="2" borderId="0" xfId="0" applyFont="1" applyFill="1" applyBorder="1" applyAlignment="1">
      <alignment vertical="center"/>
    </xf>
    <xf numFmtId="0" fontId="20" fillId="0" borderId="0" xfId="0" applyFont="1"/>
    <xf numFmtId="0" fontId="20" fillId="0" borderId="0" xfId="0" applyFont="1" applyAlignment="1">
      <alignment vertical="center"/>
    </xf>
    <xf numFmtId="0" fontId="24" fillId="0" borderId="0" xfId="0" applyFont="1" applyAlignment="1">
      <alignment horizontal="right" vertical="center"/>
    </xf>
    <xf numFmtId="0" fontId="1" fillId="8" borderId="26" xfId="0" applyFont="1" applyFill="1" applyBorder="1" applyAlignment="1">
      <alignment horizontal="left" vertical="center" wrapText="1"/>
    </xf>
    <xf numFmtId="0" fontId="24" fillId="0" borderId="0" xfId="0" applyFont="1" applyAlignment="1">
      <alignment vertical="center"/>
    </xf>
    <xf numFmtId="0" fontId="5" fillId="4" borderId="13" xfId="0" applyFont="1" applyFill="1" applyBorder="1" applyAlignment="1">
      <alignment vertical="center" wrapText="1"/>
    </xf>
    <xf numFmtId="0" fontId="5" fillId="8" borderId="26" xfId="0" applyFont="1" applyFill="1" applyBorder="1" applyAlignment="1">
      <alignment vertical="center" wrapText="1"/>
    </xf>
    <xf numFmtId="0" fontId="20" fillId="8" borderId="26" xfId="0" applyFont="1" applyFill="1" applyBorder="1" applyAlignment="1">
      <alignment wrapText="1"/>
    </xf>
    <xf numFmtId="0" fontId="20" fillId="8" borderId="26" xfId="0" applyFont="1" applyFill="1" applyBorder="1" applyAlignment="1">
      <alignment vertical="center" wrapText="1"/>
    </xf>
    <xf numFmtId="0" fontId="20" fillId="8" borderId="26" xfId="0" applyFont="1" applyFill="1" applyBorder="1" applyAlignment="1">
      <alignment horizontal="center" vertical="center" wrapText="1"/>
    </xf>
    <xf numFmtId="0" fontId="20" fillId="8" borderId="26" xfId="0" applyFont="1" applyFill="1" applyBorder="1" applyAlignment="1">
      <alignment horizontal="right" vertical="center" wrapText="1"/>
    </xf>
    <xf numFmtId="4" fontId="21" fillId="8" borderId="25" xfId="3" applyNumberFormat="1" applyFont="1" applyFill="1" applyBorder="1" applyAlignment="1">
      <alignment horizontal="center" vertical="center" wrapText="1"/>
    </xf>
    <xf numFmtId="0" fontId="24" fillId="8" borderId="26" xfId="0" applyFont="1" applyFill="1" applyBorder="1" applyAlignment="1">
      <alignment vertical="center" wrapText="1"/>
    </xf>
    <xf numFmtId="0" fontId="1" fillId="4" borderId="13" xfId="0" applyFont="1" applyFill="1" applyBorder="1" applyAlignment="1">
      <alignment vertical="center" wrapText="1"/>
    </xf>
    <xf numFmtId="0" fontId="21" fillId="8" borderId="26" xfId="0" applyFont="1" applyFill="1" applyBorder="1" applyAlignment="1">
      <alignment vertical="center" wrapText="1"/>
    </xf>
    <xf numFmtId="0" fontId="21" fillId="8" borderId="26" xfId="0" applyFont="1" applyFill="1" applyBorder="1" applyAlignment="1">
      <alignment horizontal="center" vertical="center" wrapText="1"/>
    </xf>
    <xf numFmtId="3" fontId="21" fillId="8" borderId="26" xfId="0" applyNumberFormat="1" applyFont="1" applyFill="1" applyBorder="1" applyAlignment="1">
      <alignment horizontal="center" vertical="center" wrapText="1"/>
    </xf>
    <xf numFmtId="0" fontId="0" fillId="0" borderId="0" xfId="0" applyAlignment="1">
      <alignment wrapText="1"/>
    </xf>
    <xf numFmtId="0" fontId="0" fillId="0" borderId="0" xfId="0" applyFont="1" applyAlignment="1">
      <alignment horizontal="center" vertical="center"/>
    </xf>
    <xf numFmtId="0" fontId="0" fillId="0" borderId="0" xfId="0" applyAlignment="1">
      <alignment horizontal="left" wrapText="1"/>
    </xf>
    <xf numFmtId="0" fontId="21" fillId="4" borderId="6"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20" fillId="8" borderId="1" xfId="0" applyFont="1" applyFill="1" applyBorder="1" applyAlignment="1">
      <alignment wrapText="1"/>
    </xf>
    <xf numFmtId="3" fontId="22" fillId="0" borderId="0" xfId="0" applyNumberFormat="1" applyFont="1"/>
    <xf numFmtId="0" fontId="1" fillId="0" borderId="1" xfId="0" applyFont="1" applyBorder="1" applyAlignment="1">
      <alignment wrapText="1"/>
    </xf>
    <xf numFmtId="0" fontId="5" fillId="4" borderId="1" xfId="0" applyFont="1" applyFill="1" applyBorder="1" applyAlignment="1">
      <alignment vertical="center"/>
    </xf>
    <xf numFmtId="3" fontId="20" fillId="4" borderId="1" xfId="0" applyNumberFormat="1" applyFont="1" applyFill="1" applyBorder="1" applyAlignment="1">
      <alignment vertical="center"/>
    </xf>
    <xf numFmtId="0" fontId="5" fillId="4" borderId="1" xfId="0" applyFont="1" applyFill="1" applyBorder="1" applyAlignment="1">
      <alignment vertical="center" wrapText="1"/>
    </xf>
    <xf numFmtId="0" fontId="5" fillId="6" borderId="1" xfId="0" applyFont="1" applyFill="1" applyBorder="1" applyAlignment="1">
      <alignment vertical="center" wrapText="1"/>
    </xf>
    <xf numFmtId="0" fontId="10" fillId="0" borderId="1" xfId="0" applyFont="1" applyBorder="1" applyAlignment="1">
      <alignment vertical="center"/>
    </xf>
    <xf numFmtId="0" fontId="10" fillId="0" borderId="1" xfId="0" applyFont="1" applyBorder="1" applyAlignment="1">
      <alignment vertical="center" wrapText="1"/>
    </xf>
    <xf numFmtId="3" fontId="10" fillId="0" borderId="1" xfId="1" applyNumberFormat="1" applyFont="1" applyBorder="1" applyAlignment="1">
      <alignment horizontal="center" vertical="center"/>
    </xf>
    <xf numFmtId="3" fontId="5" fillId="8" borderId="41" xfId="1" applyNumberFormat="1" applyFont="1" applyFill="1" applyBorder="1" applyAlignment="1">
      <alignment horizontal="center" vertical="center"/>
    </xf>
    <xf numFmtId="3" fontId="10" fillId="0" borderId="5" xfId="0" applyNumberFormat="1" applyFont="1" applyBorder="1" applyAlignment="1">
      <alignment horizontal="center" vertical="center"/>
    </xf>
    <xf numFmtId="3" fontId="10" fillId="0" borderId="1" xfId="0" applyNumberFormat="1" applyFont="1" applyBorder="1" applyAlignment="1">
      <alignment horizontal="center" vertical="center"/>
    </xf>
    <xf numFmtId="3" fontId="10" fillId="0" borderId="17" xfId="0" applyNumberFormat="1" applyFont="1" applyBorder="1" applyAlignment="1">
      <alignment horizontal="center" vertical="center"/>
    </xf>
    <xf numFmtId="3" fontId="5" fillId="8" borderId="25" xfId="0" applyNumberFormat="1" applyFont="1" applyFill="1" applyBorder="1" applyAlignment="1">
      <alignment horizontal="center" vertical="center"/>
    </xf>
    <xf numFmtId="3" fontId="10" fillId="0" borderId="5" xfId="1" applyNumberFormat="1" applyFont="1" applyBorder="1" applyAlignment="1">
      <alignment horizontal="center" vertical="center"/>
    </xf>
    <xf numFmtId="0" fontId="20" fillId="8" borderId="47" xfId="0" applyFont="1" applyFill="1" applyBorder="1" applyAlignment="1">
      <alignment vertical="center" wrapText="1"/>
    </xf>
    <xf numFmtId="0" fontId="10" fillId="2" borderId="7" xfId="0" applyFont="1" applyFill="1" applyBorder="1" applyAlignment="1">
      <alignment horizontal="center" vertical="center"/>
    </xf>
    <xf numFmtId="14" fontId="10" fillId="2" borderId="5" xfId="0" applyNumberFormat="1" applyFont="1" applyFill="1" applyBorder="1" applyAlignment="1">
      <alignment horizontal="center" vertical="center" wrapText="1"/>
    </xf>
    <xf numFmtId="14" fontId="10" fillId="2" borderId="5" xfId="0" applyNumberFormat="1"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8" xfId="0" applyFont="1" applyFill="1" applyBorder="1" applyAlignment="1">
      <alignment horizontal="left" vertical="center" wrapText="1"/>
    </xf>
    <xf numFmtId="0" fontId="10" fillId="0" borderId="9" xfId="0" applyFont="1" applyBorder="1" applyAlignment="1">
      <alignment horizontal="center" vertical="center"/>
    </xf>
    <xf numFmtId="14"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0" fontId="10" fillId="0" borderId="10" xfId="0" applyFont="1" applyBorder="1" applyAlignment="1">
      <alignment horizontal="left" vertical="center" wrapText="1"/>
    </xf>
    <xf numFmtId="0" fontId="10" fillId="0" borderId="1" xfId="0" applyFont="1" applyBorder="1" applyAlignment="1">
      <alignment horizontal="center" vertical="center"/>
    </xf>
    <xf numFmtId="3" fontId="10" fillId="2" borderId="5"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14"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 fontId="10"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14" fontId="10" fillId="0" borderId="1"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3" fontId="10" fillId="0" borderId="1" xfId="0" applyNumberFormat="1" applyFont="1" applyBorder="1" applyAlignment="1">
      <alignment horizontal="center" vertical="center" wrapText="1"/>
    </xf>
    <xf numFmtId="0" fontId="38" fillId="0" borderId="33" xfId="0" applyFont="1" applyBorder="1" applyAlignment="1">
      <alignment horizontal="center" vertical="center" wrapText="1"/>
    </xf>
    <xf numFmtId="0" fontId="10" fillId="0" borderId="1" xfId="0" applyFont="1" applyFill="1" applyBorder="1" applyAlignment="1">
      <alignment horizontal="left" vertical="center" wrapText="1"/>
    </xf>
    <xf numFmtId="0" fontId="38" fillId="0" borderId="32" xfId="0" applyFont="1" applyBorder="1" applyAlignment="1">
      <alignment horizontal="center" vertical="center" wrapText="1"/>
    </xf>
    <xf numFmtId="14" fontId="10" fillId="0" borderId="1" xfId="0" quotePrefix="1" applyNumberFormat="1" applyFont="1" applyFill="1" applyBorder="1" applyAlignment="1">
      <alignment horizontal="center" vertical="center"/>
    </xf>
    <xf numFmtId="3" fontId="10" fillId="0" borderId="1" xfId="0" quotePrefix="1" applyNumberFormat="1" applyFont="1" applyBorder="1" applyAlignment="1">
      <alignment horizontal="center" vertical="center" wrapText="1"/>
    </xf>
    <xf numFmtId="2" fontId="10" fillId="0" borderId="1" xfId="0" applyNumberFormat="1" applyFont="1" applyBorder="1" applyAlignment="1">
      <alignment horizontal="left" vertical="center" wrapText="1"/>
    </xf>
    <xf numFmtId="14" fontId="10" fillId="0" borderId="1" xfId="0" quotePrefix="1" applyNumberFormat="1" applyFont="1" applyBorder="1" applyAlignment="1">
      <alignment horizontal="center" vertical="center"/>
    </xf>
    <xf numFmtId="3" fontId="10" fillId="0" borderId="1" xfId="0" applyNumberFormat="1" applyFont="1" applyFill="1" applyBorder="1" applyAlignment="1">
      <alignment horizontal="center" vertical="center" wrapText="1"/>
    </xf>
    <xf numFmtId="3" fontId="10" fillId="0" borderId="1" xfId="0" quotePrefix="1" applyNumberFormat="1" applyFont="1" applyFill="1" applyBorder="1" applyAlignment="1">
      <alignment horizontal="center" vertical="center"/>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3" fontId="38" fillId="0" borderId="32" xfId="0" applyNumberFormat="1" applyFont="1" applyBorder="1" applyAlignment="1">
      <alignment horizontal="center" vertical="center" wrapText="1"/>
    </xf>
    <xf numFmtId="3" fontId="10" fillId="0" borderId="1" xfId="0" quotePrefix="1" applyNumberFormat="1" applyFont="1" applyBorder="1" applyAlignment="1">
      <alignment horizontal="center" vertical="center"/>
    </xf>
    <xf numFmtId="0" fontId="38" fillId="2" borderId="1" xfId="0" applyFont="1" applyFill="1" applyBorder="1" applyAlignment="1">
      <alignment horizontal="left" vertical="center" wrapText="1"/>
    </xf>
    <xf numFmtId="0" fontId="41" fillId="2" borderId="1" xfId="0" applyFont="1" applyFill="1" applyBorder="1" applyAlignment="1">
      <alignment horizontal="justify" vertical="center" wrapText="1"/>
    </xf>
    <xf numFmtId="1" fontId="38" fillId="2" borderId="1" xfId="0" applyNumberFormat="1" applyFont="1" applyFill="1" applyBorder="1" applyAlignment="1">
      <alignment horizontal="justify" vertical="center" wrapText="1"/>
    </xf>
    <xf numFmtId="0" fontId="51" fillId="2" borderId="10" xfId="0" applyFont="1" applyFill="1" applyBorder="1" applyAlignment="1">
      <alignment horizontal="left" vertical="center" wrapText="1"/>
    </xf>
    <xf numFmtId="0" fontId="51" fillId="2" borderId="1" xfId="0" applyFont="1" applyFill="1" applyBorder="1" applyAlignment="1">
      <alignment horizontal="left" vertical="center" wrapText="1"/>
    </xf>
    <xf numFmtId="1" fontId="39" fillId="2" borderId="1" xfId="0" applyNumberFormat="1" applyFont="1" applyFill="1" applyBorder="1" applyAlignment="1">
      <alignment horizontal="left" vertical="center" wrapText="1"/>
    </xf>
    <xf numFmtId="1" fontId="39" fillId="2" borderId="10" xfId="0" applyNumberFormat="1" applyFont="1" applyFill="1" applyBorder="1" applyAlignment="1">
      <alignment horizontal="left" vertical="center" wrapText="1"/>
    </xf>
    <xf numFmtId="0" fontId="51" fillId="2" borderId="10" xfId="0" applyFont="1" applyFill="1" applyBorder="1" applyAlignment="1">
      <alignment horizontal="left" vertical="top" wrapText="1"/>
    </xf>
    <xf numFmtId="0" fontId="52" fillId="2" borderId="10" xfId="0" applyFont="1" applyFill="1" applyBorder="1" applyAlignment="1">
      <alignment horizontal="left" vertical="center" wrapText="1"/>
    </xf>
    <xf numFmtId="4" fontId="51" fillId="2" borderId="10" xfId="0" applyNumberFormat="1" applyFont="1" applyFill="1" applyBorder="1" applyAlignment="1">
      <alignment horizontal="left" vertical="center" wrapText="1"/>
    </xf>
    <xf numFmtId="0" fontId="10" fillId="0" borderId="5" xfId="0" applyFont="1" applyBorder="1" applyAlignment="1">
      <alignment horizontal="center" vertical="center"/>
    </xf>
    <xf numFmtId="0" fontId="10" fillId="2" borderId="5" xfId="0" applyFont="1" applyFill="1" applyBorder="1" applyAlignment="1">
      <alignment horizontal="left" vertical="center" wrapText="1"/>
    </xf>
    <xf numFmtId="0" fontId="10" fillId="2" borderId="5" xfId="0" applyFont="1" applyFill="1" applyBorder="1" applyAlignment="1">
      <alignment horizontal="center" vertical="center"/>
    </xf>
    <xf numFmtId="3" fontId="10" fillId="2" borderId="5" xfId="0" applyNumberFormat="1" applyFont="1" applyFill="1" applyBorder="1" applyAlignment="1">
      <alignment horizontal="center" vertical="center"/>
    </xf>
    <xf numFmtId="169" fontId="10" fillId="0" borderId="1" xfId="1" applyNumberFormat="1" applyFont="1" applyBorder="1" applyAlignment="1">
      <alignment horizontal="center" vertical="center"/>
    </xf>
    <xf numFmtId="0" fontId="10" fillId="0" borderId="10" xfId="0" applyFont="1" applyBorder="1" applyAlignment="1">
      <alignment horizontal="left" vertical="top" wrapText="1"/>
    </xf>
    <xf numFmtId="0" fontId="10" fillId="0" borderId="10" xfId="0" applyFont="1" applyBorder="1" applyAlignment="1">
      <alignment horizontal="center" vertical="center" wrapText="1"/>
    </xf>
    <xf numFmtId="0" fontId="7" fillId="0" borderId="1" xfId="0" applyFont="1" applyBorder="1" applyAlignment="1">
      <alignment wrapText="1"/>
    </xf>
    <xf numFmtId="0" fontId="10" fillId="0" borderId="1" xfId="0" applyFont="1" applyBorder="1" applyAlignment="1">
      <alignment horizontal="left" vertical="center"/>
    </xf>
    <xf numFmtId="166" fontId="38" fillId="2" borderId="1" xfId="1" applyNumberFormat="1" applyFont="1" applyFill="1" applyBorder="1" applyAlignment="1">
      <alignment horizontal="center" vertical="center" wrapText="1"/>
    </xf>
    <xf numFmtId="3" fontId="38" fillId="2" borderId="1" xfId="0" applyNumberFormat="1" applyFont="1" applyFill="1" applyBorder="1" applyAlignment="1">
      <alignment horizontal="center" vertical="center"/>
    </xf>
    <xf numFmtId="170" fontId="10" fillId="2" borderId="5" xfId="0" applyNumberFormat="1" applyFont="1" applyFill="1" applyBorder="1" applyAlignment="1">
      <alignment horizontal="center" vertical="center" wrapText="1"/>
    </xf>
    <xf numFmtId="170" fontId="42" fillId="2" borderId="5" xfId="0" applyNumberFormat="1" applyFont="1" applyFill="1" applyBorder="1" applyAlignment="1">
      <alignment horizontal="center" vertical="center"/>
    </xf>
    <xf numFmtId="3" fontId="38" fillId="2" borderId="1" xfId="0" applyNumberFormat="1" applyFont="1" applyFill="1" applyBorder="1" applyAlignment="1">
      <alignment horizontal="center" vertical="center" wrapText="1"/>
    </xf>
    <xf numFmtId="170" fontId="10" fillId="0" borderId="1" xfId="0" applyNumberFormat="1" applyFont="1" applyBorder="1" applyAlignment="1">
      <alignment horizontal="center" vertical="center"/>
    </xf>
    <xf numFmtId="0" fontId="38" fillId="2" borderId="1" xfId="0" applyFont="1" applyFill="1" applyBorder="1" applyAlignment="1">
      <alignment horizontal="left" vertical="center"/>
    </xf>
    <xf numFmtId="0" fontId="10" fillId="2" borderId="1" xfId="0" applyFont="1" applyFill="1" applyBorder="1" applyAlignment="1">
      <alignment horizontal="left" vertical="center"/>
    </xf>
    <xf numFmtId="166" fontId="10" fillId="2" borderId="1" xfId="1" applyNumberFormat="1" applyFont="1" applyFill="1" applyBorder="1" applyAlignment="1">
      <alignment horizontal="center" vertical="center" wrapText="1"/>
    </xf>
    <xf numFmtId="0" fontId="38" fillId="0" borderId="1" xfId="0" applyFont="1" applyFill="1" applyBorder="1" applyAlignment="1">
      <alignment horizontal="left" vertical="center" wrapText="1"/>
    </xf>
    <xf numFmtId="2" fontId="10" fillId="2" borderId="5" xfId="0" applyNumberFormat="1" applyFont="1" applyFill="1" applyBorder="1" applyAlignment="1">
      <alignment horizontal="center" vertical="center" wrapText="1"/>
    </xf>
    <xf numFmtId="3" fontId="5" fillId="8" borderId="25" xfId="1" applyNumberFormat="1" applyFont="1" applyFill="1" applyBorder="1" applyAlignment="1">
      <alignment horizontal="center" vertical="center"/>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xf>
    <xf numFmtId="0" fontId="38" fillId="2" borderId="1" xfId="0" applyFont="1" applyFill="1" applyBorder="1" applyAlignment="1">
      <alignment vertical="center" wrapText="1"/>
    </xf>
    <xf numFmtId="0" fontId="42" fillId="7" borderId="1" xfId="0" applyFont="1" applyFill="1" applyBorder="1" applyAlignment="1">
      <alignment horizontal="center" vertical="center" wrapText="1"/>
    </xf>
    <xf numFmtId="14" fontId="10" fillId="0" borderId="1" xfId="0" applyNumberFormat="1" applyFont="1" applyBorder="1" applyAlignment="1">
      <alignment vertical="center" wrapText="1"/>
    </xf>
    <xf numFmtId="14" fontId="10" fillId="0" borderId="1" xfId="0" applyNumberFormat="1" applyFont="1" applyBorder="1" applyAlignment="1">
      <alignment horizontal="right" vertical="center" wrapText="1"/>
    </xf>
    <xf numFmtId="14" fontId="10" fillId="0" borderId="1" xfId="0" applyNumberFormat="1" applyFont="1" applyBorder="1" applyAlignment="1">
      <alignment horizontal="right" vertical="center"/>
    </xf>
    <xf numFmtId="0" fontId="42" fillId="7" borderId="1" xfId="0" applyFont="1" applyFill="1" applyBorder="1" applyAlignment="1">
      <alignment vertical="center" wrapText="1"/>
    </xf>
    <xf numFmtId="0" fontId="10" fillId="0" borderId="1" xfId="0" applyFont="1" applyBorder="1" applyAlignment="1">
      <alignment wrapText="1"/>
    </xf>
    <xf numFmtId="0" fontId="42" fillId="7" borderId="1" xfId="0" applyFont="1" applyFill="1" applyBorder="1" applyAlignment="1">
      <alignment horizontal="left" vertical="center" wrapText="1"/>
    </xf>
    <xf numFmtId="14" fontId="10" fillId="0" borderId="1" xfId="0" applyNumberFormat="1" applyFont="1" applyBorder="1" applyAlignment="1">
      <alignment vertical="center"/>
    </xf>
    <xf numFmtId="1" fontId="10" fillId="0" borderId="1" xfId="0" applyNumberFormat="1" applyFont="1" applyBorder="1" applyAlignment="1">
      <alignment horizontal="center" vertical="center"/>
    </xf>
    <xf numFmtId="0" fontId="38" fillId="0" borderId="1" xfId="0" applyFont="1" applyFill="1" applyBorder="1" applyAlignment="1">
      <alignment horizontal="center" vertical="center" wrapText="1"/>
    </xf>
    <xf numFmtId="0" fontId="38" fillId="0" borderId="31" xfId="0" applyFont="1" applyFill="1" applyBorder="1" applyAlignment="1">
      <alignment horizontal="center" vertical="center" wrapText="1"/>
    </xf>
    <xf numFmtId="0" fontId="38" fillId="0" borderId="1" xfId="0" applyFont="1" applyFill="1" applyBorder="1" applyAlignment="1">
      <alignment horizontal="center" vertical="top" wrapText="1"/>
    </xf>
    <xf numFmtId="0" fontId="38" fillId="0" borderId="32" xfId="0" applyFont="1" applyFill="1" applyBorder="1" applyAlignment="1">
      <alignment horizontal="center" vertical="center" wrapText="1"/>
    </xf>
    <xf numFmtId="3" fontId="38"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xf>
    <xf numFmtId="3" fontId="38" fillId="0" borderId="1" xfId="0" applyNumberFormat="1" applyFont="1" applyFill="1" applyBorder="1" applyAlignment="1">
      <alignment horizontal="center" vertical="center"/>
    </xf>
    <xf numFmtId="3" fontId="38" fillId="0" borderId="23" xfId="0" applyNumberFormat="1" applyFont="1" applyFill="1" applyBorder="1" applyAlignment="1">
      <alignment horizontal="center" vertical="center"/>
    </xf>
    <xf numFmtId="0" fontId="21" fillId="8" borderId="47" xfId="0" applyFont="1" applyFill="1" applyBorder="1" applyAlignment="1">
      <alignment vertical="center" wrapText="1"/>
    </xf>
    <xf numFmtId="3" fontId="38" fillId="0" borderId="1" xfId="0" applyNumberFormat="1" applyFont="1" applyBorder="1" applyAlignment="1">
      <alignment horizontal="center" vertical="center" wrapText="1"/>
    </xf>
    <xf numFmtId="0" fontId="10" fillId="0" borderId="1" xfId="0" applyFont="1" applyBorder="1"/>
    <xf numFmtId="0" fontId="38" fillId="2" borderId="1" xfId="0" applyFont="1" applyFill="1" applyBorder="1" applyAlignment="1">
      <alignment horizontal="justify" vertical="center" wrapText="1"/>
    </xf>
    <xf numFmtId="0" fontId="38" fillId="2" borderId="1" xfId="0" applyFont="1" applyFill="1" applyBorder="1" applyAlignment="1">
      <alignment horizontal="center" vertical="center" wrapText="1"/>
    </xf>
    <xf numFmtId="14" fontId="38" fillId="2" borderId="1" xfId="0" applyNumberFormat="1" applyFont="1" applyFill="1" applyBorder="1" applyAlignment="1">
      <alignment horizontal="center" vertical="center" wrapText="1"/>
    </xf>
    <xf numFmtId="172" fontId="10" fillId="2" borderId="1" xfId="6" applyNumberFormat="1" applyFont="1" applyFill="1" applyBorder="1" applyAlignment="1">
      <alignment horizontal="center" vertical="center" wrapText="1"/>
    </xf>
    <xf numFmtId="0" fontId="38" fillId="0" borderId="1" xfId="0" applyFont="1" applyFill="1" applyBorder="1" applyAlignment="1">
      <alignment horizontal="justify" vertical="center" wrapText="1"/>
    </xf>
    <xf numFmtId="0" fontId="38" fillId="0" borderId="1" xfId="7" applyFont="1" applyFill="1" applyBorder="1" applyAlignment="1">
      <alignment horizontal="center" vertical="center" wrapText="1"/>
    </xf>
    <xf numFmtId="165" fontId="38" fillId="0" borderId="1" xfId="7" applyNumberFormat="1" applyFont="1" applyFill="1" applyBorder="1" applyAlignment="1">
      <alignment horizontal="center" vertical="center" wrapText="1"/>
    </xf>
    <xf numFmtId="0" fontId="22" fillId="0" borderId="0" xfId="0" applyFont="1" applyAlignment="1">
      <alignment vertical="center" wrapText="1"/>
    </xf>
    <xf numFmtId="0" fontId="38" fillId="0" borderId="1" xfId="7" applyFont="1" applyFill="1" applyBorder="1" applyAlignment="1">
      <alignment horizontal="justify" vertical="center" wrapText="1"/>
    </xf>
    <xf numFmtId="1" fontId="38" fillId="0" borderId="1" xfId="7" applyNumberFormat="1" applyFont="1" applyFill="1" applyBorder="1" applyAlignment="1">
      <alignment horizontal="center" vertical="center" wrapText="1"/>
    </xf>
    <xf numFmtId="0" fontId="38" fillId="0" borderId="1" xfId="7" applyFont="1" applyFill="1" applyBorder="1" applyAlignment="1">
      <alignment vertical="center" wrapText="1"/>
    </xf>
    <xf numFmtId="14" fontId="38" fillId="2" borderId="1" xfId="0" applyNumberFormat="1" applyFont="1" applyFill="1" applyBorder="1" applyAlignment="1">
      <alignment horizontal="center" vertical="center"/>
    </xf>
    <xf numFmtId="14" fontId="38" fillId="2" borderId="1" xfId="1" applyNumberFormat="1" applyFont="1" applyFill="1" applyBorder="1" applyAlignment="1">
      <alignment horizontal="center" vertical="center"/>
    </xf>
    <xf numFmtId="3" fontId="42" fillId="2" borderId="5" xfId="0" applyNumberFormat="1" applyFont="1" applyFill="1" applyBorder="1" applyAlignment="1">
      <alignment horizontal="center" vertical="center"/>
    </xf>
    <xf numFmtId="11" fontId="10" fillId="0" borderId="1" xfId="0" applyNumberFormat="1" applyFont="1" applyBorder="1" applyAlignment="1">
      <alignment horizontal="left"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xf>
    <xf numFmtId="49" fontId="10" fillId="2" borderId="5" xfId="0" applyNumberFormat="1" applyFont="1" applyFill="1" applyBorder="1" applyAlignment="1">
      <alignment horizontal="left" vertical="center" wrapText="1"/>
    </xf>
    <xf numFmtId="49" fontId="10" fillId="2" borderId="5" xfId="0" applyNumberFormat="1" applyFont="1" applyFill="1" applyBorder="1" applyAlignment="1">
      <alignment horizontal="center" vertical="center" wrapText="1"/>
    </xf>
    <xf numFmtId="0" fontId="10" fillId="2" borderId="5" xfId="0" applyFont="1" applyFill="1" applyBorder="1" applyAlignment="1">
      <alignment vertical="center" wrapText="1"/>
    </xf>
    <xf numFmtId="49"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171" fontId="10" fillId="0" borderId="1" xfId="0" applyNumberFormat="1" applyFont="1" applyBorder="1" applyAlignment="1">
      <alignment vertical="center" wrapText="1"/>
    </xf>
    <xf numFmtId="49" fontId="10" fillId="0" borderId="1" xfId="0" applyNumberFormat="1" applyFont="1" applyBorder="1" applyAlignment="1">
      <alignment vertical="center" wrapText="1"/>
    </xf>
    <xf numFmtId="49" fontId="10" fillId="0" borderId="17" xfId="0" applyNumberFormat="1" applyFont="1" applyBorder="1" applyAlignment="1">
      <alignment vertical="center" wrapText="1"/>
    </xf>
    <xf numFmtId="49" fontId="10" fillId="0" borderId="17" xfId="0" applyNumberFormat="1" applyFont="1" applyBorder="1" applyAlignment="1">
      <alignment horizontal="center" vertical="center" wrapText="1"/>
    </xf>
    <xf numFmtId="0" fontId="41" fillId="0" borderId="1" xfId="2" applyFont="1" applyFill="1" applyBorder="1" applyAlignment="1">
      <alignment vertical="center" wrapText="1"/>
    </xf>
    <xf numFmtId="0" fontId="41" fillId="0" borderId="1" xfId="2" applyFont="1" applyFill="1" applyBorder="1" applyAlignment="1">
      <alignment horizontal="center" vertical="center" wrapText="1"/>
    </xf>
    <xf numFmtId="1" fontId="10" fillId="0" borderId="1" xfId="0" applyNumberFormat="1" applyFont="1" applyBorder="1" applyAlignment="1">
      <alignment horizontal="center" vertical="center" wrapText="1"/>
    </xf>
    <xf numFmtId="0" fontId="41" fillId="0" borderId="1" xfId="0" applyFont="1" applyFill="1" applyBorder="1" applyAlignment="1">
      <alignment vertical="center" wrapText="1"/>
    </xf>
    <xf numFmtId="0" fontId="41" fillId="0" borderId="1"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41" fillId="0" borderId="1" xfId="0" applyFont="1" applyFill="1" applyBorder="1" applyAlignment="1">
      <alignment horizontal="center" vertical="center"/>
    </xf>
    <xf numFmtId="0" fontId="54" fillId="0" borderId="1" xfId="0" applyFont="1" applyFill="1" applyBorder="1" applyAlignment="1">
      <alignment vertical="center"/>
    </xf>
    <xf numFmtId="0" fontId="54" fillId="0" borderId="1" xfId="0" applyFont="1" applyBorder="1" applyAlignment="1">
      <alignment horizontal="center" vertical="center"/>
    </xf>
    <xf numFmtId="0" fontId="54" fillId="0" borderId="1" xfId="0" applyFont="1" applyBorder="1" applyAlignment="1">
      <alignment horizontal="left" vertical="center" wrapText="1"/>
    </xf>
    <xf numFmtId="38" fontId="54" fillId="0" borderId="1" xfId="0" applyNumberFormat="1" applyFont="1" applyBorder="1" applyAlignment="1">
      <alignment horizontal="center" vertical="center"/>
    </xf>
    <xf numFmtId="0" fontId="54" fillId="0" borderId="1" xfId="0" applyFont="1" applyBorder="1" applyAlignment="1">
      <alignment vertical="center"/>
    </xf>
    <xf numFmtId="38" fontId="11" fillId="0" borderId="1" xfId="0" applyNumberFormat="1" applyFont="1" applyBorder="1" applyAlignment="1">
      <alignment horizontal="center" vertical="center"/>
    </xf>
    <xf numFmtId="0" fontId="54" fillId="0" borderId="1" xfId="0" applyFont="1" applyBorder="1" applyAlignment="1">
      <alignment horizontal="left" vertical="center"/>
    </xf>
    <xf numFmtId="0" fontId="54" fillId="0" borderId="1" xfId="0" applyFont="1" applyFill="1" applyBorder="1" applyAlignment="1">
      <alignment vertical="center" wrapText="1"/>
    </xf>
    <xf numFmtId="49" fontId="54" fillId="0" borderId="1" xfId="0" quotePrefix="1" applyNumberFormat="1" applyFont="1" applyFill="1" applyBorder="1" applyAlignment="1">
      <alignment horizontal="center" vertical="center"/>
    </xf>
    <xf numFmtId="49" fontId="54" fillId="0" borderId="1" xfId="0" applyNumberFormat="1" applyFont="1" applyBorder="1" applyAlignment="1">
      <alignment horizontal="center" vertical="center"/>
    </xf>
    <xf numFmtId="38" fontId="54" fillId="0" borderId="1" xfId="0" applyNumberFormat="1" applyFont="1" applyBorder="1" applyAlignment="1">
      <alignment horizontal="center" vertical="center" wrapText="1"/>
    </xf>
    <xf numFmtId="38" fontId="54" fillId="0" borderId="1" xfId="0" quotePrefix="1" applyNumberFormat="1" applyFont="1" applyFill="1" applyBorder="1" applyAlignment="1">
      <alignment horizontal="center" vertical="center"/>
    </xf>
    <xf numFmtId="0" fontId="54" fillId="0" borderId="1"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38" fillId="0" borderId="10" xfId="0" applyFont="1" applyBorder="1" applyAlignment="1">
      <alignment horizontal="center" vertical="center" wrapText="1"/>
    </xf>
    <xf numFmtId="3" fontId="38" fillId="0" borderId="10" xfId="0" applyNumberFormat="1" applyFont="1" applyBorder="1" applyAlignment="1">
      <alignment horizontal="center" vertical="center" wrapText="1"/>
    </xf>
    <xf numFmtId="0" fontId="11" fillId="0" borderId="1" xfId="0" applyFont="1" applyBorder="1"/>
    <xf numFmtId="0" fontId="10" fillId="2" borderId="1" xfId="0" applyFont="1" applyFill="1" applyBorder="1" applyAlignment="1">
      <alignment horizontal="center" vertical="center"/>
    </xf>
    <xf numFmtId="0" fontId="42" fillId="2" borderId="1" xfId="0" applyFont="1" applyFill="1" applyBorder="1" applyAlignment="1">
      <alignment horizontal="center" vertical="center" wrapText="1"/>
    </xf>
    <xf numFmtId="3" fontId="42" fillId="2" borderId="1" xfId="0" applyNumberFormat="1" applyFont="1" applyFill="1" applyBorder="1" applyAlignment="1">
      <alignment horizontal="center" vertical="center" wrapText="1"/>
    </xf>
    <xf numFmtId="0" fontId="38" fillId="0" borderId="1" xfId="0" applyFont="1" applyBorder="1" applyAlignment="1">
      <alignment horizontal="center" vertical="center" wrapText="1"/>
    </xf>
    <xf numFmtId="1" fontId="38" fillId="0" borderId="1" xfId="0" applyNumberFormat="1" applyFont="1" applyBorder="1" applyAlignment="1">
      <alignment horizontal="center" vertical="center"/>
    </xf>
    <xf numFmtId="0" fontId="6" fillId="4" borderId="18"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7" xfId="0" applyFont="1" applyFill="1" applyBorder="1" applyAlignment="1">
      <alignment horizontal="center" vertical="center"/>
    </xf>
    <xf numFmtId="0" fontId="55" fillId="0" borderId="1" xfId="0" applyFont="1" applyBorder="1" applyAlignment="1">
      <alignment horizontal="center" vertical="center"/>
    </xf>
    <xf numFmtId="0" fontId="56" fillId="0" borderId="1" xfId="0" applyFont="1" applyBorder="1" applyAlignment="1">
      <alignment horizontal="left" vertical="center" wrapText="1"/>
    </xf>
    <xf numFmtId="14" fontId="55" fillId="0" borderId="1" xfId="0" applyNumberFormat="1" applyFont="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0" quotePrefix="1" applyNumberFormat="1" applyFont="1" applyFill="1" applyBorder="1" applyAlignment="1">
      <alignment horizontal="center" vertical="center" wrapText="1"/>
    </xf>
    <xf numFmtId="3" fontId="10" fillId="0" borderId="17" xfId="1" applyNumberFormat="1" applyFont="1" applyBorder="1" applyAlignment="1">
      <alignment horizontal="center" vertical="center"/>
    </xf>
    <xf numFmtId="0" fontId="7" fillId="0" borderId="1" xfId="0" applyFont="1" applyBorder="1" applyAlignment="1">
      <alignment vertical="center" wrapText="1"/>
    </xf>
    <xf numFmtId="0" fontId="10" fillId="2" borderId="1" xfId="0" applyFont="1" applyFill="1" applyBorder="1" applyAlignment="1">
      <alignment vertical="center" wrapText="1"/>
    </xf>
    <xf numFmtId="0" fontId="10" fillId="2" borderId="39" xfId="0" applyFont="1" applyFill="1" applyBorder="1" applyAlignment="1">
      <alignment horizontal="left" vertical="center" wrapText="1"/>
    </xf>
    <xf numFmtId="0" fontId="10" fillId="2" borderId="39" xfId="0" applyFont="1" applyFill="1" applyBorder="1" applyAlignment="1">
      <alignment horizontal="center" vertical="center" wrapText="1"/>
    </xf>
    <xf numFmtId="0" fontId="45" fillId="3" borderId="1" xfId="0" applyFont="1" applyFill="1" applyBorder="1" applyAlignment="1">
      <alignment horizontal="center" vertical="center" wrapText="1"/>
    </xf>
    <xf numFmtId="14" fontId="10" fillId="2" borderId="5" xfId="0" applyNumberFormat="1" applyFont="1" applyFill="1" applyBorder="1" applyAlignment="1" applyProtection="1">
      <alignment horizontal="center" vertical="center" wrapText="1"/>
    </xf>
    <xf numFmtId="0" fontId="38" fillId="2" borderId="1" xfId="0" applyNumberFormat="1" applyFont="1" applyFill="1" applyBorder="1" applyAlignment="1" applyProtection="1">
      <alignment horizontal="center" vertical="center" wrapText="1"/>
    </xf>
    <xf numFmtId="168" fontId="38" fillId="2" borderId="1" xfId="0" applyNumberFormat="1" applyFont="1" applyFill="1" applyBorder="1" applyAlignment="1">
      <alignment horizontal="center" vertical="center" wrapText="1"/>
    </xf>
    <xf numFmtId="14" fontId="38" fillId="2" borderId="1" xfId="0" applyNumberFormat="1" applyFont="1" applyFill="1" applyBorder="1" applyAlignment="1" applyProtection="1">
      <alignment horizontal="center" vertical="center" wrapText="1"/>
    </xf>
    <xf numFmtId="0" fontId="10" fillId="0" borderId="23" xfId="0" applyFont="1" applyBorder="1" applyAlignment="1">
      <alignment horizontal="center" vertical="center"/>
    </xf>
    <xf numFmtId="0" fontId="10" fillId="0" borderId="1" xfId="0" applyFont="1" applyBorder="1" applyAlignment="1">
      <alignment horizontal="left" vertical="top" wrapText="1"/>
    </xf>
    <xf numFmtId="1" fontId="38" fillId="0" borderId="48" xfId="0" applyNumberFormat="1" applyFont="1" applyFill="1" applyBorder="1" applyAlignment="1">
      <alignment horizontal="left" vertical="center" wrapText="1"/>
    </xf>
    <xf numFmtId="14" fontId="10" fillId="2" borderId="33" xfId="0" applyNumberFormat="1" applyFont="1" applyFill="1" applyBorder="1" applyAlignment="1">
      <alignment horizontal="center" vertical="center" wrapText="1"/>
    </xf>
    <xf numFmtId="1" fontId="38" fillId="0" borderId="30" xfId="0" applyNumberFormat="1" applyFont="1" applyFill="1" applyBorder="1" applyAlignment="1">
      <alignment horizontal="left" vertical="center" wrapText="1"/>
    </xf>
    <xf numFmtId="0" fontId="38" fillId="0" borderId="1" xfId="0" applyFont="1" applyFill="1" applyBorder="1" applyAlignment="1">
      <alignment vertical="center" wrapText="1"/>
    </xf>
    <xf numFmtId="1" fontId="38" fillId="0" borderId="1" xfId="0" applyNumberFormat="1" applyFont="1" applyFill="1" applyBorder="1" applyAlignment="1">
      <alignment horizontal="left" vertical="center" wrapText="1"/>
    </xf>
    <xf numFmtId="1" fontId="38" fillId="0" borderId="1" xfId="0" applyNumberFormat="1" applyFont="1" applyFill="1" applyBorder="1" applyAlignment="1">
      <alignment horizontal="center" vertical="center" wrapText="1"/>
    </xf>
    <xf numFmtId="14" fontId="38" fillId="0" borderId="1" xfId="0" applyNumberFormat="1" applyFont="1" applyFill="1" applyBorder="1" applyAlignment="1">
      <alignment horizontal="center" vertical="center" wrapText="1"/>
    </xf>
    <xf numFmtId="0" fontId="38" fillId="0" borderId="5" xfId="3" applyFont="1" applyFill="1" applyBorder="1" applyAlignment="1">
      <alignment horizontal="center" vertical="center"/>
    </xf>
    <xf numFmtId="0" fontId="39" fillId="0" borderId="5" xfId="3" applyFont="1" applyFill="1" applyBorder="1" applyAlignment="1">
      <alignment horizontal="center" vertical="center" wrapText="1"/>
    </xf>
    <xf numFmtId="0" fontId="38" fillId="0" borderId="1" xfId="3" applyFont="1" applyFill="1" applyBorder="1" applyAlignment="1">
      <alignment horizontal="center" vertical="center"/>
    </xf>
    <xf numFmtId="0" fontId="39" fillId="0" borderId="1" xfId="3" applyFont="1" applyFill="1" applyBorder="1" applyAlignment="1">
      <alignment horizontal="center" vertical="center" wrapText="1"/>
    </xf>
    <xf numFmtId="9" fontId="39" fillId="0" borderId="1" xfId="3" applyNumberFormat="1" applyFont="1" applyFill="1" applyBorder="1" applyAlignment="1">
      <alignment horizontal="center" vertical="center" wrapText="1"/>
    </xf>
    <xf numFmtId="0" fontId="11" fillId="0" borderId="1" xfId="0" applyFont="1" applyBorder="1" applyAlignment="1">
      <alignment horizontal="center" vertical="center" wrapText="1"/>
    </xf>
    <xf numFmtId="3" fontId="11" fillId="0" borderId="1" xfId="0" applyNumberFormat="1" applyFont="1" applyBorder="1" applyAlignment="1">
      <alignment horizontal="center" vertical="center"/>
    </xf>
    <xf numFmtId="0" fontId="10" fillId="0" borderId="5" xfId="0" applyFont="1" applyBorder="1" applyAlignment="1">
      <alignment horizontal="left" vertical="center" wrapText="1"/>
    </xf>
    <xf numFmtId="0" fontId="57" fillId="0" borderId="1" xfId="0" applyFont="1" applyFill="1" applyBorder="1" applyAlignment="1">
      <alignment vertical="center" wrapText="1"/>
    </xf>
    <xf numFmtId="0" fontId="57" fillId="0" borderId="31" xfId="0" applyFont="1" applyFill="1" applyBorder="1" applyAlignment="1">
      <alignment vertical="center" wrapText="1"/>
    </xf>
    <xf numFmtId="0" fontId="57" fillId="0" borderId="1" xfId="2" applyFont="1" applyFill="1" applyBorder="1" applyAlignment="1">
      <alignment horizontal="center" vertical="center" wrapText="1"/>
    </xf>
    <xf numFmtId="0" fontId="10" fillId="0" borderId="17" xfId="0" applyFont="1" applyBorder="1" applyAlignment="1">
      <alignment horizontal="center" vertical="center" wrapText="1"/>
    </xf>
    <xf numFmtId="0" fontId="22" fillId="0" borderId="1" xfId="0" applyFont="1" applyBorder="1"/>
    <xf numFmtId="0" fontId="41" fillId="2" borderId="1" xfId="0" applyFont="1" applyFill="1" applyBorder="1" applyAlignment="1">
      <alignment horizontal="center" vertical="center" wrapText="1"/>
    </xf>
    <xf numFmtId="0" fontId="38" fillId="0" borderId="5" xfId="0" applyFont="1" applyFill="1" applyBorder="1" applyAlignment="1">
      <alignment vertical="center" wrapText="1"/>
    </xf>
    <xf numFmtId="0" fontId="38" fillId="0" borderId="5" xfId="0" applyFont="1" applyFill="1" applyBorder="1" applyAlignment="1">
      <alignment horizontal="center" vertical="center"/>
    </xf>
    <xf numFmtId="3" fontId="10" fillId="0" borderId="5" xfId="0" applyNumberFormat="1" applyFont="1" applyBorder="1" applyAlignment="1">
      <alignment horizontal="center" vertical="center" wrapText="1"/>
    </xf>
    <xf numFmtId="172" fontId="10" fillId="0" borderId="1" xfId="0" applyNumberFormat="1" applyFont="1" applyBorder="1" applyAlignment="1">
      <alignment horizontal="center" vertical="center" wrapText="1"/>
    </xf>
    <xf numFmtId="3" fontId="39" fillId="0" borderId="1" xfId="0" applyNumberFormat="1" applyFont="1" applyFill="1" applyBorder="1" applyAlignment="1">
      <alignment horizontal="center" vertical="center" wrapText="1"/>
    </xf>
    <xf numFmtId="0" fontId="38" fillId="2" borderId="51" xfId="0" applyFont="1" applyFill="1" applyBorder="1" applyAlignment="1">
      <alignment horizontal="center" vertical="center" wrapText="1"/>
    </xf>
    <xf numFmtId="3" fontId="38" fillId="2" borderId="51" xfId="0" applyNumberFormat="1" applyFont="1" applyFill="1" applyBorder="1" applyAlignment="1">
      <alignment horizontal="center" vertical="center"/>
    </xf>
    <xf numFmtId="3" fontId="58" fillId="0" borderId="31" xfId="0" applyNumberFormat="1" applyFont="1" applyBorder="1" applyAlignment="1">
      <alignment horizontal="center" vertical="center"/>
    </xf>
    <xf numFmtId="0" fontId="10" fillId="0" borderId="17" xfId="0" applyFont="1" applyBorder="1" applyAlignment="1">
      <alignment horizontal="center" vertical="center"/>
    </xf>
    <xf numFmtId="3" fontId="38" fillId="0" borderId="34" xfId="0" applyNumberFormat="1" applyFont="1" applyBorder="1" applyAlignment="1">
      <alignment horizontal="center" vertical="center"/>
    </xf>
    <xf numFmtId="4" fontId="10" fillId="0" borderId="17" xfId="0" applyNumberFormat="1" applyFont="1" applyBorder="1" applyAlignment="1">
      <alignment horizontal="center" vertical="center" wrapText="1"/>
    </xf>
    <xf numFmtId="3" fontId="5" fillId="0" borderId="0" xfId="0" applyNumberFormat="1" applyFont="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5" xfId="0" applyFont="1" applyFill="1" applyBorder="1" applyAlignment="1">
      <alignment vertical="center"/>
    </xf>
    <xf numFmtId="0" fontId="5" fillId="2" borderId="5" xfId="0" applyFont="1" applyFill="1" applyBorder="1" applyAlignment="1">
      <alignment horizontal="center" vertical="center"/>
    </xf>
    <xf numFmtId="0" fontId="6" fillId="2" borderId="1" xfId="0" applyFont="1" applyFill="1" applyBorder="1" applyAlignment="1">
      <alignment vertical="center"/>
    </xf>
    <xf numFmtId="1" fontId="6" fillId="2" borderId="1" xfId="0" applyNumberFormat="1"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3" fontId="37" fillId="3" borderId="1" xfId="0" applyNumberFormat="1" applyFont="1" applyFill="1" applyBorder="1" applyAlignment="1">
      <alignment horizontal="center" vertical="center"/>
    </xf>
    <xf numFmtId="0" fontId="6" fillId="4" borderId="18" xfId="0" applyFont="1" applyFill="1" applyBorder="1" applyAlignment="1">
      <alignment horizontal="left" vertical="center"/>
    </xf>
    <xf numFmtId="0" fontId="10" fillId="0" borderId="5" xfId="0" applyFont="1" applyBorder="1" applyAlignment="1">
      <alignment vertical="center" wrapText="1"/>
    </xf>
    <xf numFmtId="164" fontId="10" fillId="0" borderId="5" xfId="1" applyFont="1" applyBorder="1" applyAlignment="1">
      <alignment horizontal="center" vertical="center" wrapText="1"/>
    </xf>
    <xf numFmtId="164" fontId="10" fillId="0" borderId="1" xfId="1" applyFont="1" applyBorder="1" applyAlignment="1">
      <alignment horizontal="center" vertical="center" wrapText="1"/>
    </xf>
    <xf numFmtId="164" fontId="10" fillId="0" borderId="17" xfId="1" applyFont="1" applyBorder="1" applyAlignment="1">
      <alignment horizontal="center" vertical="center" wrapText="1"/>
    </xf>
    <xf numFmtId="0" fontId="10" fillId="0" borderId="7" xfId="0" applyFont="1" applyBorder="1" applyAlignment="1">
      <alignment horizontal="center" vertical="center"/>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7" xfId="0" applyFont="1" applyBorder="1" applyAlignment="1">
      <alignment vertical="center" wrapText="1"/>
    </xf>
    <xf numFmtId="0" fontId="38" fillId="0" borderId="1"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10" fillId="0" borderId="8" xfId="0" applyFont="1" applyBorder="1" applyAlignment="1">
      <alignment vertical="center" wrapText="1"/>
    </xf>
    <xf numFmtId="0" fontId="10" fillId="0" borderId="10" xfId="0" applyFont="1" applyBorder="1" applyAlignment="1">
      <alignment vertical="center" wrapText="1"/>
    </xf>
    <xf numFmtId="0" fontId="38" fillId="0" borderId="9" xfId="0" applyFont="1" applyBorder="1" applyAlignment="1">
      <alignment horizontal="center" vertical="center"/>
    </xf>
    <xf numFmtId="0" fontId="38" fillId="0" borderId="22" xfId="0" applyFont="1" applyBorder="1" applyAlignment="1">
      <alignment horizontal="center" vertical="center"/>
    </xf>
    <xf numFmtId="0" fontId="38" fillId="0" borderId="7" xfId="0" applyFont="1" applyBorder="1" applyAlignment="1">
      <alignment horizontal="center" vertical="center"/>
    </xf>
    <xf numFmtId="3" fontId="38" fillId="0" borderId="8" xfId="0" applyNumberFormat="1" applyFont="1" applyBorder="1" applyAlignment="1">
      <alignment horizontal="center" vertical="center" wrapText="1"/>
    </xf>
    <xf numFmtId="3" fontId="38" fillId="0" borderId="24" xfId="0" applyNumberFormat="1" applyFont="1" applyBorder="1" applyAlignment="1">
      <alignment horizontal="center" vertical="center" wrapText="1"/>
    </xf>
    <xf numFmtId="2" fontId="10" fillId="2" borderId="5" xfId="0" quotePrefix="1" applyNumberFormat="1" applyFont="1" applyFill="1" applyBorder="1" applyAlignment="1">
      <alignment horizontal="center" vertical="center" wrapText="1"/>
    </xf>
    <xf numFmtId="4" fontId="10" fillId="0" borderId="1" xfId="0" quotePrefix="1" applyNumberFormat="1" applyFont="1" applyBorder="1" applyAlignment="1">
      <alignment horizontal="center" vertical="center" wrapText="1"/>
    </xf>
    <xf numFmtId="2" fontId="10" fillId="0" borderId="1" xfId="0" quotePrefix="1" applyNumberFormat="1" applyFont="1" applyBorder="1" applyAlignment="1">
      <alignment horizontal="center" vertical="center" wrapText="1"/>
    </xf>
    <xf numFmtId="0" fontId="41" fillId="2" borderId="1" xfId="0" applyFont="1" applyFill="1" applyBorder="1" applyAlignment="1">
      <alignment horizontal="left" vertical="center" wrapText="1"/>
    </xf>
    <xf numFmtId="4" fontId="38" fillId="2" borderId="1" xfId="0" applyNumberFormat="1" applyFont="1" applyFill="1" applyBorder="1" applyAlignment="1">
      <alignment horizontal="justify" vertical="center" wrapText="1"/>
    </xf>
    <xf numFmtId="1" fontId="38" fillId="2" borderId="1" xfId="0" applyNumberFormat="1" applyFont="1" applyFill="1" applyBorder="1" applyAlignment="1">
      <alignment horizontal="left" vertical="center" wrapText="1"/>
    </xf>
    <xf numFmtId="0" fontId="39" fillId="2" borderId="1" xfId="0" applyFont="1" applyFill="1" applyBorder="1" applyAlignment="1">
      <alignment horizontal="left" vertical="center" wrapText="1"/>
    </xf>
    <xf numFmtId="0" fontId="38" fillId="2" borderId="1" xfId="0" applyFont="1" applyFill="1" applyBorder="1" applyAlignment="1">
      <alignment horizontal="left" vertical="top" wrapText="1"/>
    </xf>
    <xf numFmtId="0" fontId="38" fillId="2" borderId="1" xfId="0" applyFont="1" applyFill="1" applyBorder="1" applyAlignment="1">
      <alignment horizontal="center" vertical="center"/>
    </xf>
    <xf numFmtId="167" fontId="10" fillId="0" borderId="1" xfId="0" applyNumberFormat="1" applyFont="1" applyBorder="1" applyAlignment="1">
      <alignment horizontal="center" vertical="center"/>
    </xf>
    <xf numFmtId="0" fontId="10" fillId="0" borderId="49" xfId="0" applyFont="1" applyBorder="1" applyAlignment="1">
      <alignment wrapText="1"/>
    </xf>
    <xf numFmtId="169" fontId="10" fillId="0" borderId="49" xfId="1" applyNumberFormat="1" applyFont="1" applyBorder="1" applyAlignment="1">
      <alignment horizontal="center" vertical="center"/>
    </xf>
    <xf numFmtId="0" fontId="10" fillId="0" borderId="17" xfId="0" applyFont="1" applyBorder="1" applyAlignment="1">
      <alignment wrapText="1"/>
    </xf>
    <xf numFmtId="169" fontId="10" fillId="0" borderId="17" xfId="1" applyNumberFormat="1" applyFont="1" applyBorder="1" applyAlignment="1">
      <alignment horizontal="center" vertical="center"/>
    </xf>
    <xf numFmtId="0" fontId="10" fillId="2" borderId="5" xfId="0" applyNumberFormat="1" applyFont="1" applyFill="1" applyBorder="1" applyAlignment="1" applyProtection="1">
      <alignment vertical="center" wrapText="1"/>
    </xf>
    <xf numFmtId="0" fontId="42" fillId="0" borderId="1" xfId="0" applyFont="1" applyBorder="1" applyAlignment="1">
      <alignment horizontal="left" vertical="center" wrapText="1"/>
    </xf>
    <xf numFmtId="0" fontId="38" fillId="2" borderId="1" xfId="0" applyNumberFormat="1" applyFont="1" applyFill="1" applyBorder="1" applyAlignment="1" applyProtection="1">
      <alignment vertical="center" wrapText="1"/>
    </xf>
    <xf numFmtId="0" fontId="38" fillId="2" borderId="5" xfId="0" applyNumberFormat="1" applyFont="1" applyFill="1" applyBorder="1" applyAlignment="1" applyProtection="1">
      <alignment vertical="center" wrapText="1"/>
    </xf>
    <xf numFmtId="0" fontId="10" fillId="0" borderId="17" xfId="0" applyFont="1" applyBorder="1" applyAlignment="1">
      <alignment horizontal="left" vertical="center"/>
    </xf>
    <xf numFmtId="0" fontId="0" fillId="0" borderId="20" xfId="0" applyFont="1" applyBorder="1" applyAlignment="1">
      <alignment horizontal="center" vertical="center"/>
    </xf>
    <xf numFmtId="0" fontId="1" fillId="0" borderId="0" xfId="0" applyFont="1" applyBorder="1"/>
    <xf numFmtId="3" fontId="20" fillId="8" borderId="1" xfId="0" applyNumberFormat="1" applyFont="1" applyFill="1" applyBorder="1" applyAlignment="1">
      <alignment vertical="center" wrapText="1"/>
    </xf>
    <xf numFmtId="3" fontId="5" fillId="8" borderId="1" xfId="0" applyNumberFormat="1" applyFont="1" applyFill="1" applyBorder="1" applyAlignment="1">
      <alignment horizontal="center" vertical="center"/>
    </xf>
    <xf numFmtId="3" fontId="5" fillId="8" borderId="1" xfId="1" applyNumberFormat="1" applyFont="1" applyFill="1" applyBorder="1" applyAlignment="1">
      <alignment horizontal="center" vertical="center"/>
    </xf>
    <xf numFmtId="0" fontId="30" fillId="0" borderId="7" xfId="6" applyFont="1" applyBorder="1" applyAlignment="1">
      <alignment vertical="center"/>
    </xf>
    <xf numFmtId="3" fontId="30" fillId="0" borderId="5" xfId="6" applyNumberFormat="1" applyFont="1" applyBorder="1" applyAlignment="1">
      <alignment horizontal="center" vertical="center"/>
    </xf>
    <xf numFmtId="0" fontId="30" fillId="0" borderId="9" xfId="6" applyFont="1" applyBorder="1" applyAlignment="1">
      <alignment vertical="center"/>
    </xf>
    <xf numFmtId="3" fontId="30" fillId="0" borderId="1" xfId="6" applyNumberFormat="1" applyFont="1" applyBorder="1" applyAlignment="1">
      <alignment horizontal="center" vertical="center"/>
    </xf>
    <xf numFmtId="14" fontId="42" fillId="0" borderId="1" xfId="0" applyNumberFormat="1" applyFont="1" applyBorder="1" applyAlignment="1">
      <alignment horizontal="center" vertical="center"/>
    </xf>
    <xf numFmtId="0" fontId="42" fillId="0" borderId="1" xfId="0" applyFont="1" applyBorder="1" applyAlignment="1">
      <alignment horizontal="center" vertical="center" wrapText="1"/>
    </xf>
    <xf numFmtId="176" fontId="42" fillId="0" borderId="1" xfId="0" applyNumberFormat="1" applyFont="1" applyBorder="1" applyAlignment="1">
      <alignment horizontal="center" vertical="center" wrapText="1"/>
    </xf>
    <xf numFmtId="176" fontId="42" fillId="0" borderId="1" xfId="0" applyNumberFormat="1" applyFont="1" applyBorder="1" applyAlignment="1">
      <alignment horizontal="center" vertical="center"/>
    </xf>
    <xf numFmtId="0" fontId="42" fillId="0" borderId="1" xfId="0" applyFont="1" applyBorder="1" applyAlignment="1">
      <alignment horizontal="center" vertical="center"/>
    </xf>
    <xf numFmtId="0" fontId="42" fillId="15" borderId="1" xfId="0" applyFont="1" applyFill="1" applyBorder="1" applyAlignment="1">
      <alignment horizontal="center" vertical="center" wrapText="1"/>
    </xf>
    <xf numFmtId="14" fontId="38" fillId="2" borderId="1" xfId="0" applyNumberFormat="1" applyFont="1" applyFill="1" applyBorder="1" applyAlignment="1">
      <alignment vertical="center" wrapText="1"/>
    </xf>
    <xf numFmtId="0" fontId="42" fillId="0" borderId="1" xfId="0" applyFont="1" applyBorder="1" applyAlignment="1">
      <alignment vertical="center" wrapText="1"/>
    </xf>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3" fontId="37" fillId="10" borderId="1" xfId="0" applyNumberFormat="1" applyFont="1" applyFill="1" applyBorder="1" applyAlignment="1">
      <alignment vertical="center"/>
    </xf>
    <xf numFmtId="0" fontId="55" fillId="0" borderId="1" xfId="0" applyFont="1" applyBorder="1" applyAlignment="1">
      <alignment horizontal="left" vertical="center"/>
    </xf>
    <xf numFmtId="0" fontId="55" fillId="0" borderId="1" xfId="0" applyFont="1" applyBorder="1" applyAlignment="1">
      <alignment horizontal="left" vertical="center" wrapText="1"/>
    </xf>
    <xf numFmtId="0" fontId="34" fillId="15" borderId="53" xfId="0" applyFont="1" applyFill="1" applyBorder="1" applyAlignment="1">
      <alignment horizontal="left" vertical="center" wrapText="1"/>
    </xf>
    <xf numFmtId="0" fontId="34" fillId="15" borderId="53" xfId="0" applyFont="1" applyFill="1" applyBorder="1" applyAlignment="1">
      <alignment horizontal="center" vertical="center" wrapText="1"/>
    </xf>
    <xf numFmtId="0" fontId="34" fillId="0" borderId="53" xfId="0" applyFont="1" applyBorder="1" applyAlignment="1">
      <alignment horizontal="center" vertical="center" wrapText="1"/>
    </xf>
    <xf numFmtId="0" fontId="34" fillId="0" borderId="53" xfId="0" applyFont="1" applyBorder="1" applyAlignment="1">
      <alignment horizontal="left" vertical="center" wrapText="1"/>
    </xf>
    <xf numFmtId="0" fontId="34" fillId="0" borderId="54" xfId="0" applyFont="1" applyBorder="1" applyAlignment="1">
      <alignment horizontal="left" vertical="center" wrapText="1"/>
    </xf>
    <xf numFmtId="0" fontId="34" fillId="0" borderId="53" xfId="0" applyFont="1" applyBorder="1" applyAlignment="1">
      <alignment horizontal="left" vertical="top" wrapText="1"/>
    </xf>
    <xf numFmtId="3" fontId="5" fillId="6" borderId="1" xfId="0" applyNumberFormat="1" applyFont="1" applyFill="1" applyBorder="1" applyAlignment="1">
      <alignment horizontal="center" vertical="center"/>
    </xf>
    <xf numFmtId="3" fontId="5" fillId="6" borderId="1" xfId="1" applyNumberFormat="1" applyFont="1" applyFill="1" applyBorder="1" applyAlignment="1">
      <alignment horizontal="center" vertical="center"/>
    </xf>
    <xf numFmtId="0" fontId="3" fillId="7"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1" fontId="41" fillId="0" borderId="1" xfId="0" applyNumberFormat="1" applyFont="1" applyFill="1" applyBorder="1" applyAlignment="1">
      <alignment horizontal="center" vertical="center"/>
    </xf>
    <xf numFmtId="2" fontId="41" fillId="0" borderId="1" xfId="0" applyNumberFormat="1" applyFont="1" applyFill="1" applyBorder="1" applyAlignment="1">
      <alignment horizontal="center" vertical="center" wrapText="1"/>
    </xf>
    <xf numFmtId="2" fontId="41" fillId="0" borderId="1" xfId="0" applyNumberFormat="1" applyFont="1" applyFill="1" applyBorder="1" applyAlignment="1">
      <alignment horizontal="left" vertical="center" wrapText="1"/>
    </xf>
    <xf numFmtId="2" fontId="14" fillId="6" borderId="1" xfId="0" applyNumberFormat="1" applyFont="1" applyFill="1" applyBorder="1" applyAlignment="1">
      <alignment horizontal="left" vertical="center" wrapText="1"/>
    </xf>
    <xf numFmtId="0" fontId="6" fillId="2" borderId="1" xfId="4" quotePrefix="1" applyFont="1" applyFill="1" applyBorder="1" applyAlignment="1">
      <alignment horizontal="center" vertical="center" wrapText="1"/>
    </xf>
    <xf numFmtId="0" fontId="7" fillId="0" borderId="1" xfId="0" applyFont="1" applyBorder="1" applyAlignment="1">
      <alignment horizontal="center"/>
    </xf>
    <xf numFmtId="2" fontId="41" fillId="0" borderId="1" xfId="0" applyNumberFormat="1" applyFont="1" applyFill="1" applyBorder="1" applyAlignment="1">
      <alignment wrapText="1"/>
    </xf>
    <xf numFmtId="14" fontId="41" fillId="0" borderId="1" xfId="0" applyNumberFormat="1" applyFont="1" applyFill="1" applyBorder="1" applyAlignment="1">
      <alignment horizontal="center" vertical="center" wrapText="1"/>
    </xf>
    <xf numFmtId="173" fontId="41" fillId="0" borderId="1" xfId="0" applyNumberFormat="1" applyFont="1" applyFill="1" applyBorder="1" applyAlignment="1">
      <alignment horizontal="center" wrapText="1"/>
    </xf>
    <xf numFmtId="0" fontId="13" fillId="6" borderId="1" xfId="0" applyFont="1" applyFill="1" applyBorder="1" applyAlignment="1">
      <alignment horizontal="right" vertical="center" wrapText="1"/>
    </xf>
    <xf numFmtId="0" fontId="5" fillId="6"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5" fillId="0" borderId="1" xfId="0" applyFont="1" applyBorder="1" applyAlignment="1">
      <alignment horizontal="center" vertical="center"/>
    </xf>
    <xf numFmtId="0" fontId="38" fillId="2" borderId="1" xfId="6" applyFont="1" applyFill="1" applyBorder="1" applyAlignment="1">
      <alignment horizontal="center" vertical="center" wrapText="1"/>
    </xf>
    <xf numFmtId="0" fontId="5" fillId="6" borderId="1" xfId="0" applyFont="1" applyFill="1" applyBorder="1" applyAlignment="1">
      <alignment horizontal="right" vertical="center" wrapText="1"/>
    </xf>
    <xf numFmtId="0" fontId="42" fillId="15" borderId="1" xfId="0" applyFont="1" applyFill="1" applyBorder="1" applyAlignment="1">
      <alignment horizontal="left" vertical="center" wrapText="1"/>
    </xf>
    <xf numFmtId="174" fontId="42" fillId="15" borderId="1" xfId="0" applyNumberFormat="1" applyFont="1" applyFill="1" applyBorder="1" applyAlignment="1">
      <alignment horizontal="center" vertical="center" wrapText="1"/>
    </xf>
    <xf numFmtId="174" fontId="42" fillId="15" borderId="1" xfId="0" applyNumberFormat="1" applyFont="1" applyFill="1" applyBorder="1" applyAlignment="1">
      <alignment horizontal="center" vertical="center"/>
    </xf>
    <xf numFmtId="175" fontId="42" fillId="15" borderId="1" xfId="0" applyNumberFormat="1" applyFont="1" applyFill="1" applyBorder="1" applyAlignment="1">
      <alignment horizontal="center" vertical="center" wrapText="1"/>
    </xf>
    <xf numFmtId="176" fontId="42" fillId="15" borderId="1" xfId="0" applyNumberFormat="1" applyFont="1" applyFill="1" applyBorder="1" applyAlignment="1">
      <alignment horizontal="center" vertical="center" wrapText="1"/>
    </xf>
    <xf numFmtId="0" fontId="42" fillId="15" borderId="1" xfId="0" applyFont="1" applyFill="1" applyBorder="1" applyAlignment="1">
      <alignment horizontal="center" vertical="center"/>
    </xf>
    <xf numFmtId="0" fontId="55" fillId="2" borderId="1" xfId="0" applyFont="1" applyFill="1" applyBorder="1" applyAlignment="1">
      <alignment horizontal="left" vertical="center" wrapText="1"/>
    </xf>
    <xf numFmtId="3" fontId="20" fillId="2" borderId="1" xfId="0" applyNumberFormat="1" applyFont="1" applyFill="1" applyBorder="1" applyAlignment="1">
      <alignment vertical="center"/>
    </xf>
    <xf numFmtId="3" fontId="5" fillId="6" borderId="1" xfId="0" applyNumberFormat="1" applyFont="1" applyFill="1" applyBorder="1" applyAlignment="1">
      <alignment horizontal="right" vertical="center"/>
    </xf>
    <xf numFmtId="0" fontId="7" fillId="0" borderId="1" xfId="0" applyFont="1" applyBorder="1" applyAlignment="1">
      <alignment horizontal="center" vertical="center"/>
    </xf>
    <xf numFmtId="0" fontId="59" fillId="0" borderId="1" xfId="0" applyFont="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60" fillId="0" borderId="0" xfId="0" applyFont="1" applyAlignment="1">
      <alignment horizontal="center"/>
    </xf>
    <xf numFmtId="0" fontId="61" fillId="0" borderId="0" xfId="0" applyFont="1" applyAlignment="1">
      <alignment wrapText="1"/>
    </xf>
    <xf numFmtId="0" fontId="60" fillId="0" borderId="0" xfId="0" applyFont="1"/>
    <xf numFmtId="0" fontId="61" fillId="0" borderId="0" xfId="0" applyFont="1" applyAlignment="1">
      <alignment horizontal="center"/>
    </xf>
    <xf numFmtId="3" fontId="61" fillId="0" borderId="0" xfId="0" applyNumberFormat="1" applyFont="1"/>
    <xf numFmtId="0" fontId="60" fillId="0" borderId="0" xfId="0" applyFont="1" applyAlignment="1"/>
    <xf numFmtId="0" fontId="23" fillId="0" borderId="0" xfId="0" applyFont="1" applyAlignment="1">
      <alignment horizontal="left" wrapText="1"/>
    </xf>
    <xf numFmtId="177" fontId="10" fillId="0" borderId="5" xfId="1" applyNumberFormat="1" applyFont="1" applyBorder="1" applyAlignment="1">
      <alignment horizontal="center" vertical="center" wrapText="1"/>
    </xf>
    <xf numFmtId="177" fontId="10" fillId="0" borderId="8" xfId="1" applyNumberFormat="1" applyFont="1" applyBorder="1" applyAlignment="1">
      <alignment horizontal="center" vertical="center" wrapText="1"/>
    </xf>
    <xf numFmtId="177" fontId="10" fillId="0" borderId="1" xfId="1" applyNumberFormat="1" applyFont="1" applyBorder="1" applyAlignment="1">
      <alignment horizontal="center" vertical="center" wrapText="1"/>
    </xf>
    <xf numFmtId="177" fontId="10" fillId="0" borderId="10" xfId="1" applyNumberFormat="1" applyFont="1" applyBorder="1" applyAlignment="1">
      <alignment horizontal="center" vertical="center" wrapText="1"/>
    </xf>
    <xf numFmtId="177" fontId="25" fillId="10" borderId="25" xfId="1" applyNumberFormat="1" applyFont="1" applyFill="1" applyBorder="1" applyAlignment="1">
      <alignment horizontal="center" vertical="center" wrapText="1"/>
    </xf>
    <xf numFmtId="177" fontId="5" fillId="2" borderId="1" xfId="1" applyNumberFormat="1" applyFont="1" applyFill="1" applyBorder="1" applyAlignment="1">
      <alignment horizontal="center" vertical="center"/>
    </xf>
    <xf numFmtId="177" fontId="6" fillId="2" borderId="1" xfId="1" applyNumberFormat="1" applyFont="1" applyFill="1" applyBorder="1" applyAlignment="1">
      <alignment horizontal="center" vertical="center"/>
    </xf>
    <xf numFmtId="177" fontId="5" fillId="2" borderId="5" xfId="1" applyNumberFormat="1" applyFont="1" applyFill="1" applyBorder="1" applyAlignment="1">
      <alignment horizontal="center" vertical="center"/>
    </xf>
    <xf numFmtId="177" fontId="25" fillId="10" borderId="25" xfId="1" applyNumberFormat="1" applyFont="1" applyFill="1" applyBorder="1" applyAlignment="1">
      <alignment horizontal="center" vertical="center"/>
    </xf>
    <xf numFmtId="3" fontId="57" fillId="0" borderId="1" xfId="0" applyNumberFormat="1" applyFont="1" applyFill="1" applyBorder="1" applyAlignment="1">
      <alignment horizontal="center" vertical="center"/>
    </xf>
    <xf numFmtId="3" fontId="57" fillId="2" borderId="1" xfId="0" applyNumberFormat="1" applyFont="1" applyFill="1" applyBorder="1" applyAlignment="1">
      <alignment horizontal="center" vertical="center"/>
    </xf>
    <xf numFmtId="3" fontId="6" fillId="4" borderId="18" xfId="0" applyNumberFormat="1" applyFont="1" applyFill="1" applyBorder="1" applyAlignment="1">
      <alignment horizontal="left" vertical="center"/>
    </xf>
    <xf numFmtId="0" fontId="6" fillId="4" borderId="16" xfId="0" applyFont="1" applyFill="1" applyBorder="1" applyAlignment="1">
      <alignment horizontal="left" vertical="center" wrapText="1"/>
    </xf>
    <xf numFmtId="3" fontId="42" fillId="0" borderId="1" xfId="0" applyNumberFormat="1" applyFont="1" applyBorder="1" applyAlignment="1">
      <alignment horizontal="center" vertical="center" wrapText="1"/>
    </xf>
    <xf numFmtId="3" fontId="42" fillId="7" borderId="1" xfId="0" applyNumberFormat="1" applyFont="1" applyFill="1" applyBorder="1" applyAlignment="1">
      <alignment horizontal="center" vertical="center" wrapText="1"/>
    </xf>
    <xf numFmtId="0" fontId="63" fillId="0" borderId="0" xfId="0" applyFont="1" applyAlignment="1">
      <alignment horizontal="left" wrapText="1"/>
    </xf>
    <xf numFmtId="3" fontId="20" fillId="0" borderId="1" xfId="1" applyNumberFormat="1" applyFont="1" applyFill="1" applyBorder="1" applyAlignment="1">
      <alignment horizontal="center" vertical="center"/>
    </xf>
    <xf numFmtId="3" fontId="20" fillId="0" borderId="1" xfId="0" applyNumberFormat="1" applyFont="1" applyFill="1" applyBorder="1" applyAlignment="1">
      <alignment horizontal="center" vertical="center"/>
    </xf>
    <xf numFmtId="3" fontId="21" fillId="0" borderId="1" xfId="1"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xf>
    <xf numFmtId="3" fontId="6" fillId="0" borderId="5" xfId="1" applyNumberFormat="1" applyFont="1" applyFill="1" applyBorder="1" applyAlignment="1">
      <alignment horizontal="center" vertical="center"/>
    </xf>
    <xf numFmtId="3" fontId="6" fillId="0" borderId="1" xfId="1" applyNumberFormat="1" applyFont="1" applyFill="1" applyBorder="1" applyAlignment="1">
      <alignment horizontal="center" vertical="center"/>
    </xf>
    <xf numFmtId="3" fontId="5" fillId="0" borderId="17" xfId="1" applyNumberFormat="1" applyFont="1" applyFill="1" applyBorder="1" applyAlignment="1">
      <alignment horizontal="center" vertical="center"/>
    </xf>
    <xf numFmtId="3" fontId="25" fillId="10" borderId="25" xfId="0" applyNumberFormat="1" applyFont="1" applyFill="1" applyBorder="1" applyAlignment="1">
      <alignment horizontal="center" vertical="center"/>
    </xf>
    <xf numFmtId="0" fontId="20" fillId="8" borderId="57" xfId="0" applyFont="1" applyFill="1" applyBorder="1" applyAlignment="1">
      <alignment vertical="center" wrapText="1"/>
    </xf>
    <xf numFmtId="0" fontId="20" fillId="8" borderId="1" xfId="0" applyFont="1" applyFill="1" applyBorder="1" applyAlignment="1">
      <alignment horizontal="right" vertical="center" wrapText="1"/>
    </xf>
    <xf numFmtId="2" fontId="38" fillId="0" borderId="1" xfId="0" quotePrefix="1" applyNumberFormat="1" applyFont="1" applyBorder="1" applyAlignment="1">
      <alignment horizontal="left" wrapText="1"/>
    </xf>
    <xf numFmtId="0" fontId="38" fillId="2" borderId="1" xfId="0" quotePrefix="1" applyFont="1" applyFill="1" applyBorder="1" applyAlignment="1">
      <alignment wrapText="1"/>
    </xf>
    <xf numFmtId="0" fontId="38" fillId="0" borderId="1" xfId="0" applyFont="1" applyBorder="1" applyAlignment="1">
      <alignment wrapText="1"/>
    </xf>
    <xf numFmtId="0" fontId="38" fillId="0" borderId="1" xfId="0" quotePrefix="1" applyFont="1" applyBorder="1" applyAlignment="1">
      <alignment wrapText="1"/>
    </xf>
    <xf numFmtId="3" fontId="38" fillId="0" borderId="1" xfId="0" applyNumberFormat="1" applyFont="1" applyBorder="1" applyAlignment="1">
      <alignment horizontal="center" vertical="center"/>
    </xf>
    <xf numFmtId="3" fontId="38" fillId="2" borderId="1" xfId="0" applyNumberFormat="1" applyFont="1" applyFill="1" applyBorder="1" applyAlignment="1" applyProtection="1">
      <alignment horizontal="center" vertical="center"/>
      <protection locked="0"/>
    </xf>
    <xf numFmtId="3" fontId="7" fillId="0" borderId="1" xfId="0" applyNumberFormat="1" applyFont="1" applyBorder="1" applyAlignment="1">
      <alignment horizontal="center" vertical="center" wrapText="1"/>
    </xf>
    <xf numFmtId="3" fontId="38" fillId="0" borderId="1" xfId="1" applyNumberFormat="1" applyFont="1" applyBorder="1" applyAlignment="1">
      <alignment horizontal="center" vertical="center"/>
    </xf>
    <xf numFmtId="3" fontId="10" fillId="2" borderId="39" xfId="0" applyNumberFormat="1" applyFont="1" applyFill="1" applyBorder="1" applyAlignment="1">
      <alignment horizontal="center" vertical="center" wrapText="1"/>
    </xf>
    <xf numFmtId="1" fontId="38" fillId="2" borderId="1" xfId="0" applyNumberFormat="1" applyFont="1" applyFill="1" applyBorder="1" applyAlignment="1">
      <alignment horizontal="center" vertical="center" wrapText="1"/>
    </xf>
    <xf numFmtId="3" fontId="42" fillId="2" borderId="1" xfId="0" applyNumberFormat="1" applyFont="1" applyFill="1" applyBorder="1" applyAlignment="1">
      <alignment horizontal="center" vertical="center"/>
    </xf>
    <xf numFmtId="3" fontId="10" fillId="2" borderId="1" xfId="2" applyNumberFormat="1" applyFont="1" applyFill="1" applyBorder="1" applyAlignment="1">
      <alignment horizontal="center" vertical="center"/>
    </xf>
    <xf numFmtId="3" fontId="10" fillId="0" borderId="50" xfId="0" applyNumberFormat="1" applyFont="1" applyFill="1" applyBorder="1" applyAlignment="1">
      <alignment horizontal="center" vertical="center"/>
    </xf>
    <xf numFmtId="3" fontId="10" fillId="0" borderId="5" xfId="0" applyNumberFormat="1" applyFont="1" applyFill="1" applyBorder="1" applyAlignment="1">
      <alignment horizontal="center" vertical="center"/>
    </xf>
    <xf numFmtId="3" fontId="10" fillId="2" borderId="5" xfId="0" applyNumberFormat="1" applyFont="1" applyFill="1" applyBorder="1" applyAlignment="1" applyProtection="1">
      <alignment horizontal="center" vertical="center" wrapText="1"/>
    </xf>
    <xf numFmtId="3" fontId="38" fillId="0" borderId="5" xfId="0" applyNumberFormat="1" applyFont="1" applyFill="1" applyBorder="1" applyAlignment="1">
      <alignment horizontal="center" vertical="center"/>
    </xf>
    <xf numFmtId="3" fontId="38" fillId="0" borderId="5" xfId="0" applyNumberFormat="1" applyFont="1" applyFill="1" applyBorder="1" applyAlignment="1">
      <alignment horizontal="center" vertical="center" wrapText="1"/>
    </xf>
    <xf numFmtId="3" fontId="49" fillId="0" borderId="0" xfId="0" applyNumberFormat="1" applyFont="1" applyAlignment="1">
      <alignment horizontal="center" vertical="center"/>
    </xf>
    <xf numFmtId="3" fontId="49" fillId="0" borderId="1" xfId="0" applyNumberFormat="1" applyFont="1" applyBorder="1" applyAlignment="1">
      <alignment horizontal="center" vertical="center"/>
    </xf>
    <xf numFmtId="0" fontId="62" fillId="0" borderId="0" xfId="0" applyFont="1" applyAlignment="1">
      <alignment horizontal="left" vertical="top"/>
    </xf>
    <xf numFmtId="0" fontId="62" fillId="0" borderId="0" xfId="0" applyFont="1" applyAlignment="1">
      <alignment horizontal="left"/>
    </xf>
    <xf numFmtId="0" fontId="20" fillId="8" borderId="1" xfId="0" applyFont="1" applyFill="1" applyBorder="1" applyAlignment="1">
      <alignment vertical="center" wrapText="1"/>
    </xf>
    <xf numFmtId="0" fontId="1" fillId="2" borderId="5" xfId="0" applyFont="1" applyFill="1" applyBorder="1" applyAlignment="1">
      <alignment horizontal="left" vertical="center" wrapText="1"/>
    </xf>
    <xf numFmtId="3" fontId="1" fillId="2" borderId="5" xfId="0" applyNumberFormat="1" applyFont="1" applyFill="1" applyBorder="1" applyAlignment="1">
      <alignment horizontal="center" vertical="center"/>
    </xf>
    <xf numFmtId="3" fontId="1" fillId="0" borderId="1" xfId="0" applyNumberFormat="1" applyFont="1" applyBorder="1" applyAlignment="1">
      <alignment horizontal="center" vertical="center"/>
    </xf>
    <xf numFmtId="0" fontId="10" fillId="0" borderId="39" xfId="0" applyFont="1" applyBorder="1" applyAlignment="1">
      <alignment horizontal="left" vertical="center" wrapText="1"/>
    </xf>
    <xf numFmtId="0" fontId="10" fillId="0" borderId="39" xfId="0" applyFont="1" applyBorder="1" applyAlignment="1">
      <alignment horizontal="center" vertical="center" wrapText="1"/>
    </xf>
    <xf numFmtId="0" fontId="10" fillId="0" borderId="39" xfId="0" applyFont="1" applyBorder="1" applyAlignment="1">
      <alignment horizontal="center" vertical="center"/>
    </xf>
    <xf numFmtId="3" fontId="10" fillId="0" borderId="39" xfId="0" applyNumberFormat="1" applyFont="1" applyBorder="1" applyAlignment="1">
      <alignment horizontal="center" vertical="center"/>
    </xf>
    <xf numFmtId="2" fontId="10" fillId="0" borderId="39" xfId="0" applyNumberFormat="1" applyFont="1" applyBorder="1" applyAlignment="1">
      <alignment horizontal="center" vertical="center" wrapText="1"/>
    </xf>
    <xf numFmtId="0" fontId="20" fillId="0" borderId="17" xfId="0" applyFont="1" applyFill="1" applyBorder="1" applyAlignment="1">
      <alignment vertical="center"/>
    </xf>
    <xf numFmtId="0" fontId="1" fillId="2" borderId="1" xfId="0" applyFont="1" applyFill="1" applyBorder="1" applyAlignment="1">
      <alignment vertical="center" wrapText="1"/>
    </xf>
    <xf numFmtId="0" fontId="34" fillId="0" borderId="1" xfId="0" applyFont="1" applyFill="1" applyBorder="1" applyAlignment="1">
      <alignment horizontal="center" vertical="center" wrapText="1"/>
    </xf>
    <xf numFmtId="0" fontId="34" fillId="0" borderId="48" xfId="0" applyFont="1" applyFill="1" applyBorder="1" applyAlignment="1">
      <alignment vertical="center" wrapText="1"/>
    </xf>
    <xf numFmtId="0" fontId="34" fillId="0" borderId="30" xfId="0" applyFont="1" applyFill="1" applyBorder="1" applyAlignment="1">
      <alignment vertical="center" wrapText="1"/>
    </xf>
    <xf numFmtId="3" fontId="7" fillId="0" borderId="1" xfId="0" applyNumberFormat="1" applyFont="1" applyBorder="1" applyAlignment="1">
      <alignment horizontal="center"/>
    </xf>
    <xf numFmtId="3" fontId="1" fillId="2" borderId="1" xfId="0" applyNumberFormat="1" applyFont="1" applyFill="1" applyBorder="1" applyAlignment="1">
      <alignment horizontal="center" vertical="center"/>
    </xf>
    <xf numFmtId="0" fontId="61" fillId="0" borderId="0" xfId="0" applyNumberFormat="1" applyFont="1"/>
    <xf numFmtId="2" fontId="61" fillId="0" borderId="0" xfId="0" applyNumberFormat="1" applyFont="1"/>
    <xf numFmtId="0" fontId="61" fillId="0" borderId="0" xfId="0" applyFont="1"/>
    <xf numFmtId="0" fontId="0" fillId="0" borderId="0" xfId="0" applyAlignment="1">
      <alignment horizontal="center" vertical="center"/>
    </xf>
    <xf numFmtId="0" fontId="38" fillId="0" borderId="5" xfId="0" applyFont="1" applyFill="1" applyBorder="1" applyAlignment="1">
      <alignment horizontal="center" vertical="center" wrapText="1"/>
    </xf>
    <xf numFmtId="3" fontId="38" fillId="0" borderId="17" xfId="0" applyNumberFormat="1" applyFont="1" applyFill="1" applyBorder="1" applyAlignment="1">
      <alignment horizontal="center" vertical="center"/>
    </xf>
    <xf numFmtId="0" fontId="10" fillId="14" borderId="5" xfId="0" applyFont="1" applyFill="1" applyBorder="1" applyAlignment="1">
      <alignment horizontal="center" vertical="center" wrapText="1"/>
    </xf>
    <xf numFmtId="3" fontId="5" fillId="8" borderId="56" xfId="0" applyNumberFormat="1" applyFont="1" applyFill="1" applyBorder="1" applyAlignment="1">
      <alignment horizontal="center" vertical="center"/>
    </xf>
    <xf numFmtId="0" fontId="38" fillId="0" borderId="49" xfId="0" applyFont="1" applyFill="1" applyBorder="1" applyAlignment="1">
      <alignment horizontal="center" vertical="center" wrapText="1"/>
    </xf>
    <xf numFmtId="1" fontId="38" fillId="0" borderId="52" xfId="6" applyNumberFormat="1" applyFont="1" applyFill="1" applyBorder="1" applyAlignment="1">
      <alignment horizontal="center" vertical="center" wrapText="1"/>
    </xf>
    <xf numFmtId="3" fontId="39" fillId="0" borderId="5" xfId="3" applyNumberFormat="1" applyFont="1" applyFill="1" applyBorder="1" applyAlignment="1">
      <alignment horizontal="center" vertical="center" wrapText="1"/>
    </xf>
    <xf numFmtId="3" fontId="40" fillId="0" borderId="5" xfId="3" applyNumberFormat="1" applyFont="1" applyFill="1" applyBorder="1" applyAlignment="1">
      <alignment horizontal="center" vertical="center"/>
    </xf>
    <xf numFmtId="3" fontId="39" fillId="0" borderId="1" xfId="3" applyNumberFormat="1" applyFont="1" applyFill="1" applyBorder="1" applyAlignment="1">
      <alignment horizontal="center" vertical="center" wrapText="1"/>
    </xf>
    <xf numFmtId="3" fontId="40" fillId="0" borderId="1" xfId="3" applyNumberFormat="1" applyFont="1" applyFill="1" applyBorder="1" applyAlignment="1">
      <alignment horizontal="center" vertical="center"/>
    </xf>
    <xf numFmtId="3" fontId="39" fillId="0" borderId="1" xfId="3" applyNumberFormat="1" applyFont="1" applyFill="1" applyBorder="1" applyAlignment="1">
      <alignment horizontal="center" vertical="center"/>
    </xf>
    <xf numFmtId="3" fontId="6" fillId="8" borderId="25" xfId="1" applyNumberFormat="1" applyFont="1" applyFill="1" applyBorder="1" applyAlignment="1">
      <alignment horizontal="center" vertical="center"/>
    </xf>
    <xf numFmtId="3" fontId="5" fillId="8" borderId="25" xfId="1" applyNumberFormat="1" applyFont="1" applyFill="1" applyBorder="1" applyAlignment="1">
      <alignment horizontal="center" vertical="center" wrapText="1"/>
    </xf>
    <xf numFmtId="3" fontId="5" fillId="8" borderId="25" xfId="0" applyNumberFormat="1" applyFont="1" applyFill="1" applyBorder="1" applyAlignment="1">
      <alignment horizontal="center" vertical="center" wrapText="1"/>
    </xf>
    <xf numFmtId="0" fontId="38" fillId="2" borderId="1"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xf>
    <xf numFmtId="3" fontId="10" fillId="4" borderId="12" xfId="0" applyNumberFormat="1" applyFont="1" applyFill="1" applyBorder="1" applyAlignment="1">
      <alignment horizontal="center" vertical="center"/>
    </xf>
    <xf numFmtId="3" fontId="6" fillId="8" borderId="25" xfId="0" applyNumberFormat="1" applyFont="1" applyFill="1" applyBorder="1" applyAlignment="1">
      <alignment horizontal="center" vertical="center"/>
    </xf>
    <xf numFmtId="11" fontId="10" fillId="0" borderId="1" xfId="0" applyNumberFormat="1" applyFont="1" applyBorder="1" applyAlignment="1">
      <alignment horizontal="center" vertical="center" wrapText="1"/>
    </xf>
    <xf numFmtId="0" fontId="5" fillId="4" borderId="12" xfId="0" applyFont="1" applyFill="1" applyBorder="1" applyAlignment="1">
      <alignment horizontal="center" vertical="center"/>
    </xf>
    <xf numFmtId="0" fontId="54" fillId="0" borderId="1" xfId="0" applyFont="1" applyBorder="1" applyAlignment="1">
      <alignment horizontal="center" vertical="center" wrapText="1"/>
    </xf>
    <xf numFmtId="0" fontId="54" fillId="0" borderId="1" xfId="0" applyNumberFormat="1" applyFont="1" applyBorder="1" applyAlignment="1">
      <alignment horizontal="center" vertical="center" wrapText="1"/>
    </xf>
    <xf numFmtId="3" fontId="5" fillId="8" borderId="41" xfId="0" applyNumberFormat="1" applyFont="1" applyFill="1" applyBorder="1" applyAlignment="1">
      <alignment horizontal="center" vertical="center"/>
    </xf>
    <xf numFmtId="3" fontId="6" fillId="8" borderId="41" xfId="1" applyNumberFormat="1" applyFont="1" applyFill="1" applyBorder="1" applyAlignment="1">
      <alignment horizontal="center" vertical="center"/>
    </xf>
    <xf numFmtId="0" fontId="10" fillId="0" borderId="49" xfId="0" applyFont="1" applyBorder="1" applyAlignment="1">
      <alignment horizontal="center" vertical="center"/>
    </xf>
    <xf numFmtId="0" fontId="10" fillId="0" borderId="49" xfId="0" applyFont="1" applyBorder="1" applyAlignment="1">
      <alignment horizontal="center" vertical="center" wrapText="1"/>
    </xf>
    <xf numFmtId="1" fontId="38" fillId="0" borderId="1" xfId="0" quotePrefix="1" applyNumberFormat="1" applyFont="1" applyBorder="1" applyAlignment="1">
      <alignment horizontal="center" vertical="center"/>
    </xf>
    <xf numFmtId="1" fontId="38" fillId="2" borderId="1" xfId="0" quotePrefix="1" applyNumberFormat="1" applyFont="1" applyFill="1" applyBorder="1" applyAlignment="1" applyProtection="1">
      <alignment horizontal="center" vertical="center"/>
      <protection locked="0"/>
    </xf>
    <xf numFmtId="1" fontId="10" fillId="2" borderId="1" xfId="0" applyNumberFormat="1" applyFont="1" applyFill="1" applyBorder="1" applyAlignment="1">
      <alignment horizontal="center" vertical="center" wrapText="1"/>
    </xf>
    <xf numFmtId="1" fontId="38" fillId="0" borderId="1" xfId="0" quotePrefix="1" applyNumberFormat="1" applyFont="1" applyBorder="1" applyAlignment="1" applyProtection="1">
      <alignment horizontal="center" vertical="center"/>
      <protection locked="0"/>
    </xf>
    <xf numFmtId="0" fontId="23" fillId="0" borderId="0" xfId="0" applyFont="1" applyAlignment="1">
      <alignment horizontal="center" vertical="center" wrapText="1"/>
    </xf>
    <xf numFmtId="0" fontId="23" fillId="0" borderId="0" xfId="0" applyFont="1" applyAlignment="1">
      <alignment horizontal="center" vertical="center"/>
    </xf>
    <xf numFmtId="0" fontId="23" fillId="0" borderId="0" xfId="0" applyNumberFormat="1" applyFont="1" applyAlignment="1">
      <alignment horizontal="center" vertical="center"/>
    </xf>
    <xf numFmtId="2" fontId="23" fillId="0" borderId="0" xfId="0" applyNumberFormat="1" applyFont="1" applyAlignment="1">
      <alignment horizontal="center" vertical="center"/>
    </xf>
    <xf numFmtId="0" fontId="63" fillId="0" borderId="0" xfId="0" applyFont="1" applyAlignment="1">
      <alignment horizontal="center" vertical="center" wrapText="1"/>
    </xf>
    <xf numFmtId="0" fontId="63" fillId="0" borderId="0" xfId="0" applyFont="1" applyAlignment="1">
      <alignment horizontal="center" vertical="center"/>
    </xf>
    <xf numFmtId="0" fontId="63" fillId="0" borderId="0" xfId="0" applyNumberFormat="1" applyFont="1" applyAlignment="1">
      <alignment horizontal="center" vertical="center"/>
    </xf>
    <xf numFmtId="2" fontId="63" fillId="0" borderId="0" xfId="0" applyNumberFormat="1" applyFont="1" applyAlignment="1">
      <alignment horizontal="center" vertical="center"/>
    </xf>
    <xf numFmtId="0" fontId="61" fillId="0" borderId="0" xfId="0" applyFont="1" applyAlignment="1">
      <alignment horizontal="center" vertical="center"/>
    </xf>
    <xf numFmtId="0" fontId="64" fillId="0" borderId="0" xfId="0" applyFont="1" applyAlignment="1">
      <alignment horizontal="center" vertical="center"/>
    </xf>
    <xf numFmtId="3" fontId="63" fillId="0" borderId="0" xfId="0" applyNumberFormat="1" applyFont="1" applyAlignment="1">
      <alignment horizontal="center" vertical="center"/>
    </xf>
    <xf numFmtId="0" fontId="0" fillId="0" borderId="0" xfId="0" applyAlignment="1">
      <alignment horizontal="center" vertical="center" wrapText="1"/>
    </xf>
    <xf numFmtId="0" fontId="0" fillId="0" borderId="0" xfId="0" applyNumberFormat="1" applyAlignment="1">
      <alignment horizontal="center" vertical="center"/>
    </xf>
    <xf numFmtId="2" fontId="0" fillId="0" borderId="0" xfId="0" applyNumberFormat="1" applyAlignment="1">
      <alignment horizontal="center" vertical="center"/>
    </xf>
    <xf numFmtId="3" fontId="10" fillId="4" borderId="18" xfId="0" applyNumberFormat="1" applyFont="1" applyFill="1" applyBorder="1" applyAlignment="1">
      <alignment horizontal="center" vertical="center"/>
    </xf>
    <xf numFmtId="0" fontId="1" fillId="4" borderId="16" xfId="0" applyFont="1" applyFill="1" applyBorder="1" applyAlignment="1">
      <alignment vertical="center" wrapText="1"/>
    </xf>
    <xf numFmtId="3" fontId="6" fillId="8" borderId="1" xfId="0" applyNumberFormat="1" applyFont="1" applyFill="1" applyBorder="1" applyAlignment="1">
      <alignment horizontal="center" vertical="center"/>
    </xf>
    <xf numFmtId="0" fontId="6" fillId="8" borderId="1" xfId="0" applyFont="1" applyFill="1" applyBorder="1" applyAlignment="1">
      <alignment vertical="center" wrapText="1"/>
    </xf>
    <xf numFmtId="0" fontId="6" fillId="2" borderId="1" xfId="0" applyFont="1" applyFill="1" applyBorder="1" applyAlignment="1">
      <alignment vertical="center" wrapText="1"/>
    </xf>
    <xf numFmtId="0" fontId="6" fillId="0" borderId="1" xfId="0" applyFont="1" applyFill="1" applyBorder="1" applyAlignment="1">
      <alignment vertical="center" wrapText="1"/>
    </xf>
    <xf numFmtId="0" fontId="6" fillId="0" borderId="17" xfId="0" applyFont="1" applyFill="1" applyBorder="1" applyAlignment="1">
      <alignment vertical="center" wrapText="1"/>
    </xf>
    <xf numFmtId="3" fontId="38" fillId="0" borderId="17" xfId="0" applyNumberFormat="1" applyFont="1" applyFill="1" applyBorder="1" applyAlignment="1">
      <alignment horizontal="center" vertical="center" wrapText="1"/>
    </xf>
    <xf numFmtId="0" fontId="20" fillId="0" borderId="5" xfId="0" applyFont="1" applyFill="1" applyBorder="1" applyAlignment="1">
      <alignment vertical="center"/>
    </xf>
    <xf numFmtId="0" fontId="5" fillId="0" borderId="5" xfId="0" applyFont="1" applyFill="1" applyBorder="1" applyAlignment="1">
      <alignment horizontal="center" vertical="center"/>
    </xf>
    <xf numFmtId="3" fontId="5" fillId="0" borderId="5" xfId="1" applyNumberFormat="1" applyFont="1" applyFill="1" applyBorder="1" applyAlignment="1">
      <alignment horizontal="center" vertical="center"/>
    </xf>
    <xf numFmtId="0" fontId="0" fillId="0" borderId="31" xfId="0" applyBorder="1" applyAlignment="1">
      <alignment horizontal="center"/>
    </xf>
    <xf numFmtId="0" fontId="7" fillId="0" borderId="1" xfId="0" applyFont="1" applyBorder="1" applyAlignment="1">
      <alignment horizontal="center"/>
    </xf>
    <xf numFmtId="3" fontId="25" fillId="10" borderId="1" xfId="1" applyNumberFormat="1" applyFont="1" applyFill="1" applyBorder="1" applyAlignment="1">
      <alignment horizontal="center" vertical="center"/>
    </xf>
    <xf numFmtId="0" fontId="65" fillId="0" borderId="0" xfId="0" applyFont="1" applyAlignment="1">
      <alignment wrapText="1"/>
    </xf>
    <xf numFmtId="0" fontId="65" fillId="0" borderId="0" xfId="0" applyFont="1" applyAlignment="1">
      <alignment horizontal="center"/>
    </xf>
    <xf numFmtId="3" fontId="65" fillId="0" borderId="0" xfId="0" applyNumberFormat="1" applyFont="1"/>
    <xf numFmtId="0" fontId="67" fillId="0" borderId="0" xfId="0" applyFont="1"/>
    <xf numFmtId="0" fontId="5" fillId="0" borderId="1" xfId="0" applyFont="1" applyFill="1" applyBorder="1" applyAlignment="1">
      <alignment horizontal="left" vertical="center"/>
    </xf>
    <xf numFmtId="3" fontId="20" fillId="0" borderId="1" xfId="0" applyNumberFormat="1" applyFont="1" applyFill="1" applyBorder="1" applyAlignment="1">
      <alignment vertical="center"/>
    </xf>
    <xf numFmtId="0" fontId="5" fillId="0" borderId="1" xfId="0" applyFont="1" applyFill="1" applyBorder="1" applyAlignment="1">
      <alignment vertical="center" wrapText="1"/>
    </xf>
    <xf numFmtId="0" fontId="68" fillId="0" borderId="1" xfId="0" applyFont="1" applyFill="1" applyBorder="1" applyAlignment="1">
      <alignment vertical="center" wrapText="1"/>
    </xf>
    <xf numFmtId="0" fontId="11" fillId="0" borderId="1" xfId="0" applyFont="1" applyFill="1" applyBorder="1" applyAlignment="1">
      <alignment vertical="center" wrapText="1"/>
    </xf>
    <xf numFmtId="0" fontId="68" fillId="0" borderId="1" xfId="0" applyFont="1" applyFill="1" applyBorder="1" applyAlignment="1">
      <alignment horizontal="left" vertical="center" wrapText="1"/>
    </xf>
    <xf numFmtId="0" fontId="69" fillId="0" borderId="1" xfId="0" applyFont="1" applyFill="1" applyBorder="1" applyAlignment="1">
      <alignment horizontal="left" vertical="center" wrapText="1"/>
    </xf>
    <xf numFmtId="0" fontId="70" fillId="0" borderId="1" xfId="0" applyFont="1" applyFill="1" applyBorder="1" applyAlignment="1">
      <alignment horizontal="left" vertical="top" wrapText="1"/>
    </xf>
    <xf numFmtId="0" fontId="70"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14" fontId="68" fillId="0" borderId="1" xfId="0" applyNumberFormat="1" applyFont="1" applyFill="1" applyBorder="1" applyAlignment="1">
      <alignment horizontal="center" vertical="center"/>
    </xf>
    <xf numFmtId="14" fontId="68" fillId="0" borderId="1" xfId="0" applyNumberFormat="1" applyFont="1" applyFill="1" applyBorder="1" applyAlignment="1">
      <alignment horizontal="center" vertical="center" wrapText="1"/>
    </xf>
    <xf numFmtId="0" fontId="38" fillId="0" borderId="1" xfId="0" applyNumberFormat="1" applyFont="1" applyFill="1" applyBorder="1" applyAlignment="1" applyProtection="1">
      <alignment vertical="center" wrapText="1"/>
    </xf>
    <xf numFmtId="0" fontId="38" fillId="0" borderId="1" xfId="2" applyNumberFormat="1" applyFont="1" applyFill="1" applyBorder="1" applyAlignment="1" applyProtection="1">
      <alignment vertical="center" wrapText="1"/>
    </xf>
    <xf numFmtId="14" fontId="38" fillId="0" borderId="1" xfId="0" quotePrefix="1" applyNumberFormat="1" applyFont="1" applyFill="1" applyBorder="1" applyAlignment="1" applyProtection="1">
      <alignment horizontal="center" vertical="center"/>
    </xf>
    <xf numFmtId="14" fontId="38" fillId="0" borderId="1" xfId="0" applyNumberFormat="1" applyFont="1" applyFill="1" applyBorder="1" applyAlignment="1" applyProtection="1">
      <alignment horizontal="center" vertical="center"/>
    </xf>
    <xf numFmtId="14" fontId="38" fillId="0" borderId="1" xfId="2" applyNumberFormat="1" applyFont="1" applyFill="1" applyBorder="1" applyAlignment="1" applyProtection="1">
      <alignment horizontal="center" vertical="center"/>
    </xf>
    <xf numFmtId="4" fontId="38" fillId="0" borderId="1" xfId="0" applyNumberFormat="1" applyFont="1" applyFill="1" applyBorder="1" applyAlignment="1" applyProtection="1">
      <alignment horizontal="center" vertical="center"/>
    </xf>
    <xf numFmtId="4" fontId="38" fillId="0" borderId="1" xfId="2" applyNumberFormat="1" applyFont="1" applyFill="1" applyBorder="1" applyAlignment="1" applyProtection="1">
      <alignment horizontal="center" vertical="center"/>
    </xf>
    <xf numFmtId="49" fontId="71" fillId="0" borderId="1" xfId="0" applyNumberFormat="1" applyFont="1" applyFill="1" applyBorder="1" applyAlignment="1" applyProtection="1">
      <alignment wrapText="1"/>
    </xf>
    <xf numFmtId="49" fontId="71" fillId="0" borderId="1" xfId="0" applyNumberFormat="1" applyFont="1" applyFill="1" applyBorder="1" applyAlignment="1" applyProtection="1">
      <alignment horizontal="left" vertical="center" wrapText="1"/>
    </xf>
    <xf numFmtId="49" fontId="71" fillId="0" borderId="1" xfId="0" applyNumberFormat="1" applyFont="1" applyFill="1" applyBorder="1" applyAlignment="1" applyProtection="1">
      <alignment vertical="center" wrapText="1"/>
    </xf>
    <xf numFmtId="49" fontId="71" fillId="0" borderId="17" xfId="0" applyNumberFormat="1" applyFont="1" applyFill="1" applyBorder="1" applyAlignment="1" applyProtection="1">
      <alignment wrapText="1"/>
    </xf>
    <xf numFmtId="0" fontId="0" fillId="0" borderId="1" xfId="0" applyBorder="1" applyAlignment="1">
      <alignment horizontal="center"/>
    </xf>
    <xf numFmtId="0" fontId="47" fillId="0" borderId="1" xfId="0" applyFont="1" applyFill="1" applyBorder="1" applyAlignment="1">
      <alignment horizontal="center" vertical="center"/>
    </xf>
    <xf numFmtId="0" fontId="47" fillId="0" borderId="31" xfId="0" applyFont="1" applyFill="1" applyBorder="1" applyAlignment="1">
      <alignment horizontal="center" vertical="center"/>
    </xf>
    <xf numFmtId="0" fontId="47" fillId="0" borderId="32"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3" fontId="10" fillId="0" borderId="31" xfId="0" applyNumberFormat="1" applyFont="1" applyFill="1" applyBorder="1" applyAlignment="1">
      <alignment horizontal="center" vertical="center"/>
    </xf>
    <xf numFmtId="0" fontId="10" fillId="0" borderId="32"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3" fontId="30" fillId="2" borderId="1" xfId="0" applyNumberFormat="1" applyFont="1" applyFill="1" applyBorder="1" applyAlignment="1">
      <alignment horizontal="center" vertical="center" wrapText="1"/>
    </xf>
    <xf numFmtId="3" fontId="30" fillId="2" borderId="1" xfId="0" applyNumberFormat="1" applyFont="1" applyFill="1" applyBorder="1" applyAlignment="1">
      <alignment horizontal="center" vertical="center"/>
    </xf>
    <xf numFmtId="3" fontId="23" fillId="2" borderId="1" xfId="0" applyNumberFormat="1" applyFont="1" applyFill="1" applyBorder="1" applyAlignment="1">
      <alignment horizontal="center"/>
    </xf>
    <xf numFmtId="0" fontId="25" fillId="11" borderId="26" xfId="0" applyFont="1" applyFill="1" applyBorder="1" applyAlignment="1">
      <alignment vertical="center" wrapText="1"/>
    </xf>
    <xf numFmtId="3" fontId="29" fillId="11" borderId="25" xfId="0" applyNumberFormat="1" applyFont="1" applyFill="1" applyBorder="1" applyAlignment="1">
      <alignment horizontal="center" vertical="center"/>
    </xf>
    <xf numFmtId="0" fontId="25" fillId="10" borderId="45" xfId="0" applyFont="1" applyFill="1" applyBorder="1" applyAlignment="1">
      <alignment horizontal="center" vertical="center"/>
    </xf>
    <xf numFmtId="0" fontId="25" fillId="10" borderId="46" xfId="0" applyFont="1" applyFill="1" applyBorder="1" applyAlignment="1">
      <alignment horizontal="center" vertical="center"/>
    </xf>
    <xf numFmtId="0" fontId="4" fillId="5" borderId="28"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44" xfId="0" applyFont="1" applyFill="1" applyBorder="1" applyAlignment="1">
      <alignment horizontal="center" vertical="center" wrapText="1"/>
    </xf>
    <xf numFmtId="3" fontId="62" fillId="0" borderId="0" xfId="0" applyNumberFormat="1" applyFont="1" applyAlignment="1">
      <alignment horizontal="center"/>
    </xf>
    <xf numFmtId="0" fontId="62" fillId="0" borderId="0" xfId="0" applyFont="1" applyAlignment="1">
      <alignment horizontal="center"/>
    </xf>
    <xf numFmtId="0" fontId="29" fillId="11" borderId="0" xfId="6" applyFont="1" applyFill="1" applyBorder="1" applyAlignment="1">
      <alignment horizontal="center" vertical="center" wrapText="1"/>
    </xf>
    <xf numFmtId="0" fontId="5" fillId="4" borderId="11" xfId="0" applyFont="1" applyFill="1" applyBorder="1" applyAlignment="1">
      <alignment horizontal="left" vertical="center"/>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6" fillId="4" borderId="28" xfId="0" applyFont="1" applyFill="1" applyBorder="1" applyAlignment="1">
      <alignment horizontal="left" vertical="center"/>
    </xf>
    <xf numFmtId="0" fontId="6" fillId="4" borderId="18" xfId="0" applyFont="1" applyFill="1" applyBorder="1" applyAlignment="1">
      <alignment horizontal="left" vertical="center"/>
    </xf>
    <xf numFmtId="0" fontId="6" fillId="4" borderId="16" xfId="0" applyFont="1" applyFill="1" applyBorder="1" applyAlignment="1">
      <alignment horizontal="left" vertical="center"/>
    </xf>
    <xf numFmtId="0" fontId="5" fillId="4" borderId="18" xfId="0" applyFont="1" applyFill="1" applyBorder="1" applyAlignment="1">
      <alignment horizontal="left" vertical="center"/>
    </xf>
    <xf numFmtId="0" fontId="43" fillId="13" borderId="11" xfId="3" applyFont="1" applyFill="1" applyBorder="1" applyAlignment="1">
      <alignment horizontal="left" vertical="center"/>
    </xf>
    <xf numFmtId="0" fontId="43" fillId="13" borderId="12" xfId="3" applyFont="1" applyFill="1" applyBorder="1" applyAlignment="1">
      <alignment horizontal="left" vertical="center"/>
    </xf>
    <xf numFmtId="0" fontId="43" fillId="13" borderId="13" xfId="3" applyFont="1" applyFill="1" applyBorder="1" applyAlignment="1">
      <alignment horizontal="left" vertical="center"/>
    </xf>
    <xf numFmtId="0" fontId="43" fillId="13" borderId="11" xfId="0" applyFont="1" applyFill="1" applyBorder="1" applyAlignment="1">
      <alignment horizontal="left" vertical="center"/>
    </xf>
    <xf numFmtId="0" fontId="43" fillId="13" borderId="12" xfId="0" applyFont="1" applyFill="1" applyBorder="1" applyAlignment="1">
      <alignment horizontal="left" vertical="center"/>
    </xf>
    <xf numFmtId="0" fontId="43" fillId="13" borderId="13" xfId="0" applyFont="1" applyFill="1" applyBorder="1" applyAlignment="1">
      <alignment horizontal="left" vertical="center"/>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6" fillId="4" borderId="13" xfId="0" applyFont="1" applyFill="1" applyBorder="1" applyAlignment="1">
      <alignment horizontal="left" vertical="center"/>
    </xf>
    <xf numFmtId="0" fontId="5" fillId="8" borderId="11"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29" xfId="0" applyFont="1" applyFill="1" applyBorder="1" applyAlignment="1">
      <alignment horizontal="center" vertical="center"/>
    </xf>
    <xf numFmtId="0" fontId="0" fillId="0" borderId="37" xfId="0" applyFont="1" applyBorder="1" applyAlignment="1">
      <alignment horizontal="center" vertical="center"/>
    </xf>
    <xf numFmtId="0" fontId="0" fillId="0" borderId="12" xfId="0" applyFont="1" applyBorder="1" applyAlignment="1">
      <alignment horizontal="center" vertical="center"/>
    </xf>
    <xf numFmtId="0" fontId="0" fillId="0" borderId="29"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44" fillId="13" borderId="30" xfId="0" applyFont="1" applyFill="1" applyBorder="1" applyAlignment="1">
      <alignment horizontal="left" vertical="center"/>
    </xf>
    <xf numFmtId="0" fontId="44" fillId="13" borderId="31" xfId="0" applyFont="1" applyFill="1" applyBorder="1" applyAlignment="1">
      <alignment horizontal="left" vertical="center"/>
    </xf>
    <xf numFmtId="0" fontId="44" fillId="13" borderId="32" xfId="0" applyFont="1" applyFill="1" applyBorder="1" applyAlignment="1">
      <alignment horizontal="left" vertical="center"/>
    </xf>
    <xf numFmtId="0" fontId="5" fillId="4" borderId="1" xfId="0" applyFont="1" applyFill="1" applyBorder="1" applyAlignment="1">
      <alignment horizontal="left" vertical="center"/>
    </xf>
    <xf numFmtId="0" fontId="5" fillId="4" borderId="40" xfId="0" applyFont="1" applyFill="1" applyBorder="1" applyAlignment="1">
      <alignment horizontal="left" vertical="center"/>
    </xf>
    <xf numFmtId="0" fontId="5" fillId="4" borderId="20" xfId="0" applyFont="1" applyFill="1" applyBorder="1" applyAlignment="1">
      <alignment horizontal="left" vertical="center"/>
    </xf>
    <xf numFmtId="0" fontId="5" fillId="4" borderId="42" xfId="0" applyFont="1" applyFill="1" applyBorder="1" applyAlignment="1">
      <alignment horizontal="left" vertical="center"/>
    </xf>
    <xf numFmtId="0" fontId="20" fillId="8" borderId="11" xfId="0" applyFont="1" applyFill="1" applyBorder="1" applyAlignment="1">
      <alignment horizontal="center" vertical="center"/>
    </xf>
    <xf numFmtId="0" fontId="20" fillId="8" borderId="12" xfId="0" applyFont="1" applyFill="1" applyBorder="1" applyAlignment="1">
      <alignment horizontal="center" vertical="center"/>
    </xf>
    <xf numFmtId="0" fontId="20" fillId="8" borderId="29" xfId="0" applyFont="1" applyFill="1" applyBorder="1" applyAlignment="1">
      <alignment horizontal="center" vertical="center"/>
    </xf>
    <xf numFmtId="0" fontId="5" fillId="4" borderId="28" xfId="0" applyFont="1" applyFill="1" applyBorder="1" applyAlignment="1">
      <alignment horizontal="left"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38" fillId="4" borderId="14" xfId="0" applyFont="1" applyFill="1" applyBorder="1" applyAlignment="1">
      <alignment horizontal="center" vertical="center"/>
    </xf>
    <xf numFmtId="0" fontId="38" fillId="4" borderId="15" xfId="0" applyFont="1" applyFill="1" applyBorder="1" applyAlignment="1">
      <alignment horizontal="center" vertical="center"/>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4" xfId="0" applyNumberFormat="1" applyFont="1" applyFill="1" applyBorder="1" applyAlignment="1">
      <alignment horizontal="center" vertical="center" wrapText="1"/>
    </xf>
    <xf numFmtId="0" fontId="6" fillId="4" borderId="15" xfId="0" applyNumberFormat="1" applyFont="1" applyFill="1" applyBorder="1" applyAlignment="1">
      <alignment horizontal="center" vertical="center" wrapText="1"/>
    </xf>
    <xf numFmtId="2" fontId="6" fillId="4" borderId="14" xfId="0" applyNumberFormat="1" applyFont="1" applyFill="1" applyBorder="1" applyAlignment="1">
      <alignment horizontal="center" vertical="center" wrapText="1"/>
    </xf>
    <xf numFmtId="2" fontId="6" fillId="4" borderId="15" xfId="0" applyNumberFormat="1"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28"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55" xfId="0" applyFont="1" applyFill="1" applyBorder="1" applyAlignment="1">
      <alignment horizontal="center" vertical="center"/>
    </xf>
    <xf numFmtId="0" fontId="11" fillId="0" borderId="50" xfId="0" applyFont="1" applyBorder="1" applyAlignment="1">
      <alignment horizontal="center" vertical="center"/>
    </xf>
    <xf numFmtId="0" fontId="11" fillId="0" borderId="38" xfId="0" applyFont="1" applyBorder="1" applyAlignment="1">
      <alignment horizontal="center" vertical="center"/>
    </xf>
    <xf numFmtId="0" fontId="11" fillId="0" borderId="33" xfId="0" applyFont="1" applyBorder="1" applyAlignment="1">
      <alignment horizontal="center" vertical="center"/>
    </xf>
    <xf numFmtId="0" fontId="6" fillId="4" borderId="1" xfId="0" applyFont="1" applyFill="1" applyBorder="1" applyAlignment="1">
      <alignment horizontal="left" vertical="center"/>
    </xf>
    <xf numFmtId="0" fontId="11" fillId="0" borderId="1" xfId="0" applyFont="1" applyBorder="1" applyAlignment="1">
      <alignment horizontal="center" vertical="center"/>
    </xf>
    <xf numFmtId="0" fontId="64" fillId="0" borderId="0" xfId="0" applyFont="1" applyAlignment="1">
      <alignment horizontal="center"/>
    </xf>
    <xf numFmtId="3" fontId="64" fillId="0" borderId="0" xfId="0" applyNumberFormat="1" applyFont="1" applyAlignment="1">
      <alignment horizontal="center" vertical="center"/>
    </xf>
    <xf numFmtId="0" fontId="64" fillId="0" borderId="0" xfId="0" applyFont="1" applyAlignment="1">
      <alignment horizontal="center" vertical="center"/>
    </xf>
    <xf numFmtId="0" fontId="43" fillId="13" borderId="1" xfId="0" applyFont="1" applyFill="1" applyBorder="1" applyAlignment="1">
      <alignment horizontal="left" vertical="center"/>
    </xf>
    <xf numFmtId="0" fontId="25" fillId="11" borderId="11" xfId="0" applyFont="1" applyFill="1" applyBorder="1" applyAlignment="1">
      <alignment horizontal="center" vertical="center"/>
    </xf>
    <xf numFmtId="0" fontId="25" fillId="11" borderId="12" xfId="0" applyFont="1" applyFill="1" applyBorder="1" applyAlignment="1">
      <alignment horizontal="center" vertical="center"/>
    </xf>
    <xf numFmtId="0" fontId="25" fillId="11" borderId="29" xfId="0" applyFont="1" applyFill="1" applyBorder="1" applyAlignment="1">
      <alignment horizontal="center" vertical="center"/>
    </xf>
    <xf numFmtId="0" fontId="0" fillId="0" borderId="59" xfId="0" applyFont="1" applyBorder="1" applyAlignment="1">
      <alignment horizontal="center" vertical="center"/>
    </xf>
    <xf numFmtId="0" fontId="0" fillId="0" borderId="58" xfId="0" applyFont="1" applyBorder="1" applyAlignment="1">
      <alignment horizontal="center" vertical="center"/>
    </xf>
    <xf numFmtId="0" fontId="0" fillId="0" borderId="18" xfId="0" applyFont="1" applyBorder="1" applyAlignment="1">
      <alignment horizontal="center" vertical="center"/>
    </xf>
    <xf numFmtId="0" fontId="0" fillId="0" borderId="55" xfId="0" applyFont="1" applyBorder="1" applyAlignment="1">
      <alignment horizontal="center" vertical="center"/>
    </xf>
    <xf numFmtId="0" fontId="66" fillId="0" borderId="0" xfId="0" applyFont="1" applyAlignment="1">
      <alignment horizontal="center" vertical="center" wrapText="1"/>
    </xf>
    <xf numFmtId="0" fontId="31" fillId="5" borderId="28" xfId="0" applyFont="1" applyFill="1" applyBorder="1" applyAlignment="1">
      <alignment horizontal="center" vertical="center"/>
    </xf>
    <xf numFmtId="0" fontId="31" fillId="5" borderId="18" xfId="0" applyFont="1" applyFill="1" applyBorder="1" applyAlignment="1">
      <alignment horizontal="center" vertical="center"/>
    </xf>
    <xf numFmtId="0" fontId="31" fillId="5" borderId="16" xfId="0" applyFont="1" applyFill="1" applyBorder="1" applyAlignment="1">
      <alignment horizontal="center" vertical="center"/>
    </xf>
    <xf numFmtId="0" fontId="31" fillId="5" borderId="35" xfId="0" applyFont="1" applyFill="1" applyBorder="1" applyAlignment="1">
      <alignment horizontal="center" vertical="center"/>
    </xf>
    <xf numFmtId="0" fontId="31" fillId="5" borderId="0" xfId="0" applyFont="1" applyFill="1" applyBorder="1" applyAlignment="1">
      <alignment horizontal="center" vertical="center"/>
    </xf>
    <xf numFmtId="0" fontId="31" fillId="5" borderId="36" xfId="0" applyFont="1" applyFill="1" applyBorder="1" applyAlignment="1">
      <alignment horizontal="center" vertical="center"/>
    </xf>
    <xf numFmtId="3" fontId="60" fillId="0" borderId="0" xfId="0" applyNumberFormat="1" applyFont="1" applyAlignment="1">
      <alignment horizontal="center"/>
    </xf>
    <xf numFmtId="0" fontId="60" fillId="0" borderId="0" xfId="0" applyFont="1" applyAlignment="1">
      <alignment horizont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47" fillId="6" borderId="1" xfId="0" applyFont="1" applyFill="1"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vertical="center" wrapText="1"/>
    </xf>
    <xf numFmtId="0" fontId="5" fillId="4" borderId="1" xfId="0" applyFont="1" applyFill="1" applyBorder="1" applyAlignment="1">
      <alignment horizontal="left" vertical="center" wrapText="1"/>
    </xf>
    <xf numFmtId="0" fontId="5" fillId="4" borderId="30" xfId="0" applyFont="1" applyFill="1" applyBorder="1" applyAlignment="1">
      <alignment horizontal="left" vertical="center"/>
    </xf>
    <xf numFmtId="0" fontId="5" fillId="4" borderId="31" xfId="0" applyFont="1" applyFill="1" applyBorder="1" applyAlignment="1">
      <alignment horizontal="left" vertical="center"/>
    </xf>
    <xf numFmtId="0" fontId="5" fillId="4" borderId="32" xfId="0" applyFont="1" applyFill="1" applyBorder="1" applyAlignment="1">
      <alignment horizontal="left" vertical="center"/>
    </xf>
    <xf numFmtId="0" fontId="0" fillId="0" borderId="31" xfId="0" applyBorder="1" applyAlignment="1">
      <alignment horizont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32" xfId="0" applyFont="1" applyFill="1" applyBorder="1" applyAlignment="1">
      <alignment horizontal="center" vertical="center"/>
    </xf>
    <xf numFmtId="0" fontId="4" fillId="5" borderId="1"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3" fontId="37" fillId="3" borderId="1" xfId="0" applyNumberFormat="1" applyFont="1" applyFill="1" applyBorder="1" applyAlignment="1">
      <alignment horizontal="center" vertical="center"/>
    </xf>
    <xf numFmtId="3" fontId="37" fillId="3" borderId="1" xfId="0" applyNumberFormat="1" applyFont="1" applyFill="1" applyBorder="1" applyAlignment="1">
      <alignment horizontal="center" vertical="center" wrapText="1"/>
    </xf>
    <xf numFmtId="1" fontId="48" fillId="6"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47" fillId="6" borderId="30" xfId="0" applyFont="1" applyFill="1" applyBorder="1" applyAlignment="1">
      <alignment horizontal="center" vertical="center"/>
    </xf>
    <xf numFmtId="0" fontId="47" fillId="6" borderId="31" xfId="0" applyFont="1" applyFill="1" applyBorder="1" applyAlignment="1">
      <alignment horizontal="center" vertical="center"/>
    </xf>
    <xf numFmtId="0" fontId="47" fillId="6" borderId="32" xfId="0" applyFont="1" applyFill="1" applyBorder="1" applyAlignment="1">
      <alignment horizontal="center" vertical="center"/>
    </xf>
    <xf numFmtId="0" fontId="5" fillId="6"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46" fillId="10" borderId="1" xfId="0" applyFont="1" applyFill="1" applyBorder="1" applyAlignment="1">
      <alignment horizontal="center" vertic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47" fillId="0" borderId="30" xfId="0" applyFont="1" applyFill="1" applyBorder="1" applyAlignment="1">
      <alignment horizontal="center" vertical="center"/>
    </xf>
    <xf numFmtId="0" fontId="47" fillId="0" borderId="31" xfId="0" applyFont="1" applyFill="1" applyBorder="1" applyAlignment="1">
      <alignment horizontal="center" vertical="center"/>
    </xf>
    <xf numFmtId="0" fontId="47" fillId="0" borderId="32"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0" fontId="33" fillId="0" borderId="0" xfId="0" applyFont="1" applyAlignment="1">
      <alignment horizontal="center"/>
    </xf>
    <xf numFmtId="0" fontId="32" fillId="0" borderId="0" xfId="0" applyFont="1" applyAlignment="1">
      <alignment wrapText="1"/>
    </xf>
    <xf numFmtId="0" fontId="33" fillId="0" borderId="0" xfId="0" applyFont="1" applyAlignment="1"/>
    <xf numFmtId="3" fontId="33" fillId="0" borderId="0" xfId="0" applyNumberFormat="1" applyFont="1" applyAlignment="1">
      <alignment horizontal="center"/>
    </xf>
    <xf numFmtId="3" fontId="32" fillId="0" borderId="0" xfId="0" applyNumberFormat="1" applyFont="1"/>
    <xf numFmtId="0" fontId="33" fillId="0" borderId="0" xfId="0" applyFont="1"/>
    <xf numFmtId="0" fontId="32" fillId="0" borderId="0" xfId="0" applyFont="1" applyAlignment="1">
      <alignment horizontal="center"/>
    </xf>
  </cellXfs>
  <cellStyles count="8">
    <cellStyle name="Excel Built-in Bad" xfId="5"/>
    <cellStyle name="Normal" xfId="0" builtinId="0"/>
    <cellStyle name="Normal 2" xfId="2"/>
    <cellStyle name="Normal 3" xfId="6"/>
    <cellStyle name="Normal_2006 ihaleler 2" xfId="4"/>
    <cellStyle name="Normal_KÜLTÜR VE SOSYAL İŞLER MD 3.dönem" xfId="3"/>
    <cellStyle name="Normal_Sayfa1_1" xfId="7"/>
    <cellStyle name="Virgül" xfId="1" builtin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A0000"/>
      <color rgb="FFF1A5A5"/>
      <color rgb="FFFDD7E0"/>
      <color rgb="FFB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495300</xdr:colOff>
      <xdr:row>0</xdr:row>
      <xdr:rowOff>0</xdr:rowOff>
    </xdr:from>
    <xdr:to>
      <xdr:col>6</xdr:col>
      <xdr:colOff>600075</xdr:colOff>
      <xdr:row>1</xdr:row>
      <xdr:rowOff>257174</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0"/>
          <a:ext cx="1933575" cy="1457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50"/>
  <sheetViews>
    <sheetView zoomScale="90" zoomScaleNormal="90" zoomScalePageLayoutView="70" workbookViewId="0">
      <pane ySplit="3" topLeftCell="A4" activePane="bottomLeft" state="frozen"/>
      <selection pane="bottomLeft" activeCell="B21" sqref="B21"/>
    </sheetView>
  </sheetViews>
  <sheetFormatPr defaultRowHeight="15"/>
  <cols>
    <col min="1" max="1" width="7" style="13" customWidth="1"/>
    <col min="2" max="2" width="63.42578125" style="8" customWidth="1"/>
    <col min="3" max="3" width="22" style="8" customWidth="1"/>
    <col min="4" max="4" width="30" style="28" customWidth="1"/>
    <col min="5" max="5" width="28.7109375" style="29" customWidth="1"/>
    <col min="6" max="6" width="32.5703125" style="8" customWidth="1"/>
    <col min="7" max="7" width="20" customWidth="1"/>
    <col min="8" max="8" width="14" customWidth="1"/>
    <col min="9" max="9" width="18" customWidth="1"/>
    <col min="10" max="10" width="6.140625" customWidth="1"/>
  </cols>
  <sheetData>
    <row r="1" spans="1:8" ht="19.5" customHeight="1">
      <c r="A1" s="643" t="s">
        <v>1879</v>
      </c>
      <c r="B1" s="644"/>
      <c r="C1" s="644"/>
      <c r="D1" s="644"/>
      <c r="E1" s="644"/>
      <c r="F1" s="645"/>
    </row>
    <row r="2" spans="1:8" ht="45.75" customHeight="1">
      <c r="A2" s="646"/>
      <c r="B2" s="647"/>
      <c r="C2" s="647"/>
      <c r="D2" s="647"/>
      <c r="E2" s="647"/>
      <c r="F2" s="648"/>
    </row>
    <row r="3" spans="1:8" s="30" customFormat="1" ht="52.5" customHeight="1">
      <c r="A3" s="70" t="s">
        <v>0</v>
      </c>
      <c r="B3" s="35" t="s">
        <v>166</v>
      </c>
      <c r="C3" s="35" t="s">
        <v>165</v>
      </c>
      <c r="D3" s="36" t="s">
        <v>6</v>
      </c>
      <c r="E3" s="37" t="s">
        <v>7</v>
      </c>
      <c r="F3" s="71" t="s">
        <v>8</v>
      </c>
    </row>
    <row r="4" spans="1:8" s="72" customFormat="1" ht="27" customHeight="1">
      <c r="A4" s="75">
        <v>1</v>
      </c>
      <c r="B4" s="79" t="s">
        <v>1880</v>
      </c>
      <c r="C4" s="80">
        <f>KURUMLAR!A197</f>
        <v>8</v>
      </c>
      <c r="D4" s="489">
        <f>KURUMLAR!H198</f>
        <v>62812042000</v>
      </c>
      <c r="E4" s="489">
        <f>KURUMLAR!I198</f>
        <v>39780049000</v>
      </c>
      <c r="F4" s="489">
        <f>KURUMLAR!J198</f>
        <v>5937508000</v>
      </c>
    </row>
    <row r="5" spans="1:8" s="72" customFormat="1" ht="27" customHeight="1">
      <c r="A5" s="75">
        <v>2</v>
      </c>
      <c r="B5" s="79" t="s">
        <v>128</v>
      </c>
      <c r="C5" s="80">
        <f>KURUMLAR!A151</f>
        <v>35</v>
      </c>
      <c r="D5" s="490">
        <f>KURUMLAR!H152</f>
        <v>8538783167</v>
      </c>
      <c r="E5" s="490">
        <f>KURUMLAR!I152</f>
        <v>901813757</v>
      </c>
      <c r="F5" s="490">
        <f>KURUMLAR!J152</f>
        <v>301770814</v>
      </c>
    </row>
    <row r="6" spans="1:8" s="72" customFormat="1" ht="27" customHeight="1">
      <c r="A6" s="75">
        <v>3</v>
      </c>
      <c r="B6" s="79" t="s">
        <v>127</v>
      </c>
      <c r="C6" s="80">
        <f>KURUMLAR!A113</f>
        <v>14</v>
      </c>
      <c r="D6" s="490">
        <f>KURUMLAR!H114</f>
        <v>1588260377.5199997</v>
      </c>
      <c r="E6" s="490">
        <f>KURUMLAR!I114</f>
        <v>345858848.17000002</v>
      </c>
      <c r="F6" s="490">
        <f>KURUMLAR!J114</f>
        <v>1106025617</v>
      </c>
    </row>
    <row r="7" spans="1:8" s="78" customFormat="1" ht="27" customHeight="1">
      <c r="A7" s="75">
        <v>4</v>
      </c>
      <c r="B7" s="79" t="s">
        <v>123</v>
      </c>
      <c r="C7" s="80">
        <f>KURUMLAR!A208</f>
        <v>8</v>
      </c>
      <c r="D7" s="489">
        <f>KURUMLAR!H209</f>
        <v>12958000</v>
      </c>
      <c r="E7" s="489">
        <f>KURUMLAR!I209</f>
        <v>0</v>
      </c>
      <c r="F7" s="489">
        <f>KURUMLAR!J209</f>
        <v>12958000</v>
      </c>
    </row>
    <row r="8" spans="1:8" s="81" customFormat="1" ht="27" customHeight="1">
      <c r="A8" s="75">
        <v>5</v>
      </c>
      <c r="B8" s="79" t="s">
        <v>122</v>
      </c>
      <c r="C8" s="80">
        <f>KURUMLAR!A59</f>
        <v>47</v>
      </c>
      <c r="D8" s="490">
        <f>KURUMLAR!H60</f>
        <v>396902064.13999999</v>
      </c>
      <c r="E8" s="490">
        <f>KURUMLAR!I60</f>
        <v>246515797.53999999</v>
      </c>
      <c r="F8" s="490">
        <f>KURUMLAR!J60</f>
        <v>150386266.59999999</v>
      </c>
    </row>
    <row r="9" spans="1:8" s="81" customFormat="1" ht="27" customHeight="1">
      <c r="A9" s="75">
        <v>6</v>
      </c>
      <c r="B9" s="79" t="s">
        <v>26</v>
      </c>
      <c r="C9" s="80">
        <f>KURUMLAR!A82</f>
        <v>20</v>
      </c>
      <c r="D9" s="489">
        <f>KURUMLAR!H83</f>
        <v>72132169.439999998</v>
      </c>
      <c r="E9" s="489">
        <f>KURUMLAR!I83</f>
        <v>34949679.019999996</v>
      </c>
      <c r="F9" s="489">
        <f>KURUMLAR!J83</f>
        <v>37182490.420000002</v>
      </c>
    </row>
    <row r="10" spans="1:8" s="81" customFormat="1" ht="27" customHeight="1">
      <c r="A10" s="75">
        <v>7</v>
      </c>
      <c r="B10" s="79" t="s">
        <v>55</v>
      </c>
      <c r="C10" s="80">
        <f>KURUMLAR!A96</f>
        <v>11</v>
      </c>
      <c r="D10" s="490">
        <f>KURUMLAR!H97</f>
        <v>3401666000</v>
      </c>
      <c r="E10" s="490">
        <f>KURUMLAR!I97</f>
        <v>1935051304.2393463</v>
      </c>
      <c r="F10" s="490">
        <f>KURUMLAR!J97</f>
        <v>71003700</v>
      </c>
    </row>
    <row r="11" spans="1:8" s="81" customFormat="1" ht="27" customHeight="1">
      <c r="A11" s="75">
        <v>8</v>
      </c>
      <c r="B11" s="79" t="s">
        <v>129</v>
      </c>
      <c r="C11" s="80">
        <f>KURUMLAR!A217</f>
        <v>6</v>
      </c>
      <c r="D11" s="490">
        <f>KURUMLAR!H218</f>
        <v>3942735</v>
      </c>
      <c r="E11" s="490">
        <f>KURUMLAR!I218</f>
        <v>0</v>
      </c>
      <c r="F11" s="490">
        <f>KURUMLAR!J218</f>
        <v>3942735</v>
      </c>
    </row>
    <row r="12" spans="1:8" s="81" customFormat="1" ht="27" customHeight="1">
      <c r="A12" s="75">
        <v>9</v>
      </c>
      <c r="B12" s="79" t="s">
        <v>124</v>
      </c>
      <c r="C12" s="80">
        <f>KURUMLAR!A186</f>
        <v>22</v>
      </c>
      <c r="D12" s="490">
        <f>KURUMLAR!H187</f>
        <v>171648466.76250005</v>
      </c>
      <c r="E12" s="490">
        <f>KURUMLAR!I187</f>
        <v>69294778.650000006</v>
      </c>
      <c r="F12" s="490">
        <f>KURUMLAR!J187</f>
        <v>30636790.352499995</v>
      </c>
    </row>
    <row r="13" spans="1:8" s="81" customFormat="1" ht="27" customHeight="1">
      <c r="A13" s="75">
        <v>10</v>
      </c>
      <c r="B13" s="79" t="s">
        <v>106</v>
      </c>
      <c r="C13" s="80">
        <f>KURUMLAR!A255</f>
        <v>35</v>
      </c>
      <c r="D13" s="489">
        <f>KURUMLAR!H256</f>
        <v>1323600000</v>
      </c>
      <c r="E13" s="489">
        <f>KURUMLAR!I256</f>
        <v>11742761.68</v>
      </c>
      <c r="F13" s="489">
        <f>KURUMLAR!J256</f>
        <v>184294000</v>
      </c>
    </row>
    <row r="14" spans="1:8" s="84" customFormat="1" ht="27" customHeight="1">
      <c r="A14" s="75">
        <v>11</v>
      </c>
      <c r="B14" s="79" t="s">
        <v>68</v>
      </c>
      <c r="C14" s="80">
        <f>KURUMLAR!A260</f>
        <v>2</v>
      </c>
      <c r="D14" s="490">
        <f>KURUMLAR!H261</f>
        <v>122243000</v>
      </c>
      <c r="E14" s="490">
        <f>KURUMLAR!I261</f>
        <v>64087549</v>
      </c>
      <c r="F14" s="490">
        <f>KURUMLAR!J261</f>
        <v>15000000</v>
      </c>
      <c r="G14" s="87"/>
      <c r="H14" s="87"/>
    </row>
    <row r="15" spans="1:8" s="84" customFormat="1" ht="27" customHeight="1">
      <c r="A15" s="75">
        <v>12</v>
      </c>
      <c r="B15" s="82" t="s">
        <v>114</v>
      </c>
      <c r="C15" s="80">
        <f>KURUMLAR!A9</f>
        <v>1</v>
      </c>
      <c r="D15" s="489">
        <f>KURUMLAR!H10</f>
        <v>1500000</v>
      </c>
      <c r="E15" s="489">
        <f>KURUMLAR!I10</f>
        <v>0</v>
      </c>
      <c r="F15" s="489">
        <f>KURUMLAR!J10</f>
        <v>1500000</v>
      </c>
    </row>
    <row r="16" spans="1:8" s="81" customFormat="1" ht="27" customHeight="1">
      <c r="A16" s="75">
        <v>13</v>
      </c>
      <c r="B16" s="79" t="s">
        <v>107</v>
      </c>
      <c r="C16" s="80">
        <f>KURUMLAR!A161</f>
        <v>7</v>
      </c>
      <c r="D16" s="489">
        <f>KURUMLAR!H162</f>
        <v>5770939</v>
      </c>
      <c r="E16" s="489">
        <f>KURUMLAR!I162</f>
        <v>234832.22</v>
      </c>
      <c r="F16" s="489">
        <f>KURUMLAR!J162</f>
        <v>1189106.78</v>
      </c>
    </row>
    <row r="17" spans="1:6" s="81" customFormat="1" ht="39" customHeight="1">
      <c r="A17" s="75">
        <v>14</v>
      </c>
      <c r="B17" s="85" t="s">
        <v>1679</v>
      </c>
      <c r="C17" s="86">
        <f>KURUMLAR!A332</f>
        <v>69</v>
      </c>
      <c r="D17" s="491">
        <f>KURUMLAR!H333</f>
        <v>550884883.97182882</v>
      </c>
      <c r="E17" s="491">
        <f>KURUMLAR!I333</f>
        <v>316288520.17459977</v>
      </c>
      <c r="F17" s="491">
        <f>KURUMLAR!J333</f>
        <v>236817820.59722897</v>
      </c>
    </row>
    <row r="18" spans="1:6" s="81" customFormat="1" ht="27" customHeight="1">
      <c r="A18" s="75">
        <v>15</v>
      </c>
      <c r="B18" s="82" t="s">
        <v>1877</v>
      </c>
      <c r="C18" s="80">
        <f>KURUMLAR!A342</f>
        <v>6</v>
      </c>
      <c r="D18" s="489">
        <f>KURUMLAR!H343</f>
        <v>318999049</v>
      </c>
      <c r="E18" s="489">
        <f>KURUMLAR!I343</f>
        <v>236149049</v>
      </c>
      <c r="F18" s="489">
        <f>KURUMLAR!J343</f>
        <v>64850000</v>
      </c>
    </row>
    <row r="19" spans="1:6" s="74" customFormat="1" ht="27" customHeight="1">
      <c r="A19" s="75">
        <v>16</v>
      </c>
      <c r="B19" s="82" t="s">
        <v>39</v>
      </c>
      <c r="C19" s="83">
        <f>KURUMLAR!A372</f>
        <v>26</v>
      </c>
      <c r="D19" s="489">
        <f>KURUMLAR!H373</f>
        <v>1104508629.1230001</v>
      </c>
      <c r="E19" s="489">
        <f>KURUMLAR!I373</f>
        <v>26088480.600000001</v>
      </c>
      <c r="F19" s="489">
        <f>KURUMLAR!J373</f>
        <v>211305933.333</v>
      </c>
    </row>
    <row r="20" spans="1:6" s="89" customFormat="1" ht="27" customHeight="1">
      <c r="A20" s="75">
        <v>17</v>
      </c>
      <c r="B20" s="79" t="s">
        <v>1911</v>
      </c>
      <c r="C20" s="80">
        <f>KURUMLAR!A377</f>
        <v>2</v>
      </c>
      <c r="D20" s="490">
        <f>KURUMLAR!H378</f>
        <v>14825000</v>
      </c>
      <c r="E20" s="490">
        <f>KURUMLAR!I378</f>
        <v>58379</v>
      </c>
      <c r="F20" s="490">
        <f>KURUMLAR!J378</f>
        <v>14825000</v>
      </c>
    </row>
    <row r="21" spans="1:6" s="89" customFormat="1" ht="27" customHeight="1">
      <c r="A21" s="75">
        <v>18</v>
      </c>
      <c r="B21" s="82" t="s">
        <v>52</v>
      </c>
      <c r="C21" s="83">
        <f>KURUMLAR!A508</f>
        <v>128</v>
      </c>
      <c r="D21" s="489">
        <f>KURUMLAR!H509</f>
        <v>1551731643</v>
      </c>
      <c r="E21" s="489">
        <f>KURUMLAR!I509</f>
        <v>14729440</v>
      </c>
      <c r="F21" s="489">
        <f>KURUMLAR!J509</f>
        <v>319960515</v>
      </c>
    </row>
    <row r="22" spans="1:6" s="90" customFormat="1" ht="27" customHeight="1">
      <c r="A22" s="75">
        <v>19</v>
      </c>
      <c r="B22" s="76" t="s">
        <v>21</v>
      </c>
      <c r="C22" s="77">
        <f>KURUMLAR!A515</f>
        <v>4</v>
      </c>
      <c r="D22" s="489">
        <f>KURUMLAR!H516</f>
        <v>45150000</v>
      </c>
      <c r="E22" s="489">
        <f>KURUMLAR!I516</f>
        <v>0</v>
      </c>
      <c r="F22" s="489">
        <f>KURUMLAR!J516</f>
        <v>1250000</v>
      </c>
    </row>
    <row r="23" spans="1:6" s="91" customFormat="1" ht="27" customHeight="1">
      <c r="A23" s="75">
        <v>20</v>
      </c>
      <c r="B23" s="88" t="s">
        <v>57</v>
      </c>
      <c r="C23" s="80">
        <f>KURUMLAR!A590</f>
        <v>72</v>
      </c>
      <c r="D23" s="489">
        <f>KURUMLAR!H591</f>
        <v>6973489858.3500004</v>
      </c>
      <c r="E23" s="489">
        <f>KURUMLAR!I591</f>
        <v>273393894.34000003</v>
      </c>
      <c r="F23" s="489">
        <f>KURUMLAR!J591</f>
        <v>546731853.73000002</v>
      </c>
    </row>
    <row r="24" spans="1:6" s="89" customFormat="1" ht="27" customHeight="1">
      <c r="A24" s="75">
        <v>21</v>
      </c>
      <c r="B24" s="79" t="s">
        <v>67</v>
      </c>
      <c r="C24" s="301">
        <f>KURUMLAR!A608</f>
        <v>15</v>
      </c>
      <c r="D24" s="492">
        <f>KURUMLAR!H609</f>
        <v>3619207</v>
      </c>
      <c r="E24" s="492">
        <f>KURUMLAR!I609</f>
        <v>0</v>
      </c>
      <c r="F24" s="492">
        <f>KURUMLAR!J609</f>
        <v>3619207</v>
      </c>
    </row>
    <row r="25" spans="1:6" s="92" customFormat="1" ht="27" customHeight="1">
      <c r="A25" s="75">
        <v>22</v>
      </c>
      <c r="B25" s="88" t="s">
        <v>1878</v>
      </c>
      <c r="C25" s="301">
        <f>KURUMLAR!A630</f>
        <v>19</v>
      </c>
      <c r="D25" s="493">
        <f>KURUMLAR!H631</f>
        <v>211703108.58080006</v>
      </c>
      <c r="E25" s="493">
        <f>KURUMLAR!I631</f>
        <v>67062070.239999995</v>
      </c>
      <c r="F25" s="493">
        <f>KURUMLAR!J631</f>
        <v>114968904.80999999</v>
      </c>
    </row>
    <row r="26" spans="1:6" s="93" customFormat="1" ht="27" customHeight="1">
      <c r="A26" s="75">
        <v>23</v>
      </c>
      <c r="B26" s="79" t="s">
        <v>24</v>
      </c>
      <c r="C26" s="301">
        <f>KURUMLAR!A636</f>
        <v>3</v>
      </c>
      <c r="D26" s="493">
        <f>KURUMLAR!H637</f>
        <v>38500000</v>
      </c>
      <c r="E26" s="493">
        <f>KURUMLAR!I637</f>
        <v>4735242</v>
      </c>
      <c r="F26" s="493">
        <f>KURUMLAR!J637</f>
        <v>15000000</v>
      </c>
    </row>
    <row r="27" spans="1:6" s="93" customFormat="1" ht="27" customHeight="1">
      <c r="A27" s="75">
        <v>24</v>
      </c>
      <c r="B27" s="593" t="s">
        <v>1906</v>
      </c>
      <c r="C27" s="594">
        <f>KURUMLAR!A643</f>
        <v>4</v>
      </c>
      <c r="D27" s="595">
        <f>KURUMLAR!H644</f>
        <v>15400000</v>
      </c>
      <c r="E27" s="595">
        <f>KURUMLAR!I644</f>
        <v>0</v>
      </c>
      <c r="F27" s="595">
        <f>KURUMLAR!J644</f>
        <v>1403000</v>
      </c>
    </row>
    <row r="28" spans="1:6" s="94" customFormat="1" ht="27" customHeight="1">
      <c r="A28" s="75">
        <v>25</v>
      </c>
      <c r="B28" s="73" t="s">
        <v>19</v>
      </c>
      <c r="C28" s="302">
        <f>KURUMLAR!A653</f>
        <v>7</v>
      </c>
      <c r="D28" s="494">
        <f>KURUMLAR!H654</f>
        <v>131640000</v>
      </c>
      <c r="E28" s="494">
        <f>KURUMLAR!I654</f>
        <v>183000</v>
      </c>
      <c r="F28" s="495">
        <f>KURUMLAR!J654</f>
        <v>9290000</v>
      </c>
    </row>
    <row r="29" spans="1:6" s="89" customFormat="1" ht="27" customHeight="1">
      <c r="A29" s="75">
        <v>26</v>
      </c>
      <c r="B29" s="79" t="s">
        <v>58</v>
      </c>
      <c r="C29" s="301">
        <f>KURUMLAR!A776</f>
        <v>120</v>
      </c>
      <c r="D29" s="492">
        <f>KURUMLAR!H777</f>
        <v>1329974532.72</v>
      </c>
      <c r="E29" s="492">
        <f>KURUMLAR!I777</f>
        <v>166401550.97100005</v>
      </c>
      <c r="F29" s="492">
        <f>KURUMLAR!J777</f>
        <v>1163572981.7490001</v>
      </c>
    </row>
    <row r="30" spans="1:6" s="89" customFormat="1" ht="27" customHeight="1">
      <c r="A30" s="75">
        <v>27</v>
      </c>
      <c r="B30" s="79" t="s">
        <v>181</v>
      </c>
      <c r="C30" s="301">
        <f>KURUMLAR!A781</f>
        <v>1</v>
      </c>
      <c r="D30" s="493">
        <f>KURUMLAR!H782</f>
        <v>11371000</v>
      </c>
      <c r="E30" s="493">
        <f>KURUMLAR!I782</f>
        <v>0</v>
      </c>
      <c r="F30" s="493">
        <f>KURUMLAR!J782</f>
        <v>1958000</v>
      </c>
    </row>
    <row r="31" spans="1:6" s="95" customFormat="1" ht="27" customHeight="1">
      <c r="A31" s="75">
        <v>28</v>
      </c>
      <c r="B31" s="79" t="s">
        <v>162</v>
      </c>
      <c r="C31" s="301">
        <f>KURUMLAR!A815</f>
        <v>22</v>
      </c>
      <c r="D31" s="493">
        <f>KURUMLAR!H816</f>
        <v>473332000</v>
      </c>
      <c r="E31" s="493">
        <f>KURUMLAR!I816</f>
        <v>228690000</v>
      </c>
      <c r="F31" s="493">
        <f>KURUMLAR!J816</f>
        <v>109986000</v>
      </c>
    </row>
    <row r="32" spans="1:6" s="89" customFormat="1" ht="27" customHeight="1">
      <c r="A32" s="75">
        <v>29</v>
      </c>
      <c r="B32" s="76" t="s">
        <v>1876</v>
      </c>
      <c r="C32" s="303">
        <f>KURUMLAR!A935</f>
        <v>6</v>
      </c>
      <c r="D32" s="495">
        <f>KURUMLAR!H936</f>
        <v>35043000</v>
      </c>
      <c r="E32" s="495">
        <f>KURUMLAR!I936</f>
        <v>0</v>
      </c>
      <c r="F32" s="495">
        <f>KURUMLAR!J936</f>
        <v>16500000</v>
      </c>
    </row>
    <row r="33" spans="1:6" s="96" customFormat="1" ht="27" customHeight="1">
      <c r="A33" s="75">
        <v>30</v>
      </c>
      <c r="B33" s="88" t="s">
        <v>164</v>
      </c>
      <c r="C33" s="301">
        <f>KURUMLAR!A949</f>
        <v>11</v>
      </c>
      <c r="D33" s="493">
        <f>KURUMLAR!H950</f>
        <v>2814999835</v>
      </c>
      <c r="E33" s="493">
        <f>KURUMLAR!I950</f>
        <v>86973506.439999998</v>
      </c>
      <c r="F33" s="493">
        <f>KURUMLAR!J950</f>
        <v>231482000</v>
      </c>
    </row>
    <row r="34" spans="1:6" s="96" customFormat="1" ht="27" customHeight="1">
      <c r="A34" s="75">
        <v>31</v>
      </c>
      <c r="B34" s="79" t="s">
        <v>135</v>
      </c>
      <c r="C34" s="301">
        <f>KURUMLAR!A913</f>
        <v>7</v>
      </c>
      <c r="D34" s="492">
        <f>KURUMLAR!H914</f>
        <v>227149600</v>
      </c>
      <c r="E34" s="492">
        <f>KURUMLAR!I914</f>
        <v>85121653</v>
      </c>
      <c r="F34" s="492">
        <f>KURUMLAR!J914</f>
        <v>83400000</v>
      </c>
    </row>
    <row r="35" spans="1:6" s="96" customFormat="1" ht="27" customHeight="1">
      <c r="A35" s="75">
        <v>32</v>
      </c>
      <c r="B35" s="79" t="s">
        <v>167</v>
      </c>
      <c r="C35" s="301">
        <f>KURUMLAR!A852</f>
        <v>13</v>
      </c>
      <c r="D35" s="493">
        <f>KURUMLAR!H853</f>
        <v>557516000</v>
      </c>
      <c r="E35" s="493">
        <f>KURUMLAR!I853</f>
        <v>334614982</v>
      </c>
      <c r="F35" s="493">
        <f>KURUMLAR!J853</f>
        <v>79370000</v>
      </c>
    </row>
    <row r="36" spans="1:6" s="96" customFormat="1" ht="27" customHeight="1">
      <c r="A36" s="75">
        <v>33</v>
      </c>
      <c r="B36" s="79" t="s">
        <v>146</v>
      </c>
      <c r="C36" s="301">
        <f>KURUMLAR!A836</f>
        <v>18</v>
      </c>
      <c r="D36" s="492">
        <f>KURUMLAR!H837</f>
        <v>3476823000</v>
      </c>
      <c r="E36" s="492">
        <f>KURUMLAR!I837</f>
        <v>260957000</v>
      </c>
      <c r="F36" s="492">
        <f>KURUMLAR!J837</f>
        <v>847708000</v>
      </c>
    </row>
    <row r="37" spans="1:6" s="97" customFormat="1" ht="27" customHeight="1">
      <c r="A37" s="75">
        <v>34</v>
      </c>
      <c r="B37" s="79" t="s">
        <v>64</v>
      </c>
      <c r="C37" s="301">
        <f>KURUMLAR!A789</f>
        <v>5</v>
      </c>
      <c r="D37" s="493">
        <f>KURUMLAR!H790</f>
        <v>201534963</v>
      </c>
      <c r="E37" s="493">
        <f>KURUMLAR!I790</f>
        <v>81131807</v>
      </c>
      <c r="F37" s="493">
        <f>KURUMLAR!J790</f>
        <v>72538700</v>
      </c>
    </row>
    <row r="38" spans="1:6" s="98" customFormat="1" ht="27" customHeight="1">
      <c r="A38" s="75">
        <v>35</v>
      </c>
      <c r="B38" s="79" t="s">
        <v>156</v>
      </c>
      <c r="C38" s="301">
        <f>KURUMLAR!A865</f>
        <v>10</v>
      </c>
      <c r="D38" s="493">
        <f>KURUMLAR!H866</f>
        <v>150970000</v>
      </c>
      <c r="E38" s="493">
        <f>KURUMLAR!I866</f>
        <v>5378290.71</v>
      </c>
      <c r="F38" s="493">
        <f>KURUMLAR!J866</f>
        <v>86623000</v>
      </c>
    </row>
    <row r="39" spans="1:6" s="98" customFormat="1" ht="27" customHeight="1">
      <c r="A39" s="75">
        <v>36</v>
      </c>
      <c r="B39" s="76" t="s">
        <v>157</v>
      </c>
      <c r="C39" s="303">
        <f>KURUMLAR!A880</f>
        <v>12</v>
      </c>
      <c r="D39" s="495">
        <f>KURUMLAR!H881</f>
        <v>284751729</v>
      </c>
      <c r="E39" s="495">
        <f>KURUMLAR!I881</f>
        <v>217831835</v>
      </c>
      <c r="F39" s="495">
        <f>KURUMLAR!J881</f>
        <v>30000000</v>
      </c>
    </row>
    <row r="40" spans="1:6" s="91" customFormat="1" ht="27" customHeight="1">
      <c r="A40" s="75">
        <v>37</v>
      </c>
      <c r="B40" s="76" t="s">
        <v>158</v>
      </c>
      <c r="C40" s="303">
        <f>KURUMLAR!A926</f>
        <v>10</v>
      </c>
      <c r="D40" s="495">
        <f>KURUMLAR!H927</f>
        <v>210492500</v>
      </c>
      <c r="E40" s="495">
        <f>KURUMLAR!I927</f>
        <v>30000000</v>
      </c>
      <c r="F40" s="495">
        <f>KURUMLAR!J927</f>
        <v>68247000</v>
      </c>
    </row>
    <row r="41" spans="1:6" s="91" customFormat="1" ht="27" customHeight="1">
      <c r="A41" s="75">
        <v>38</v>
      </c>
      <c r="B41" s="530" t="s">
        <v>159</v>
      </c>
      <c r="C41" s="304">
        <f>KURUMLAR!A903</f>
        <v>7</v>
      </c>
      <c r="D41" s="496">
        <f>KURUMLAR!H904</f>
        <v>201978000</v>
      </c>
      <c r="E41" s="496">
        <f>KURUMLAR!I904</f>
        <v>121833216.59</v>
      </c>
      <c r="F41" s="496">
        <f>KURUMLAR!J904</f>
        <v>45414000</v>
      </c>
    </row>
    <row r="42" spans="1:6" s="91" customFormat="1" ht="27" customHeight="1" thickBot="1">
      <c r="A42" s="75">
        <v>39</v>
      </c>
      <c r="B42" s="530" t="s">
        <v>160</v>
      </c>
      <c r="C42" s="304">
        <f>KURUMLAR!A893</f>
        <v>10</v>
      </c>
      <c r="D42" s="496">
        <f>KURUMLAR!H894</f>
        <v>142050000</v>
      </c>
      <c r="E42" s="496">
        <f>KURUMLAR!I894</f>
        <v>29850000</v>
      </c>
      <c r="F42" s="496">
        <f>KURUMLAR!J894</f>
        <v>50698000</v>
      </c>
    </row>
    <row r="43" spans="1:6" s="32" customFormat="1" ht="54" customHeight="1" thickBot="1">
      <c r="A43" s="641" t="s">
        <v>168</v>
      </c>
      <c r="B43" s="642"/>
      <c r="C43" s="34">
        <f>SUM(C4:C42)</f>
        <v>823</v>
      </c>
      <c r="D43" s="497">
        <f>SUM(D4:D42)</f>
        <v>99529886457.608139</v>
      </c>
      <c r="E43" s="497">
        <f t="shared" ref="E43:F43" si="0">SUM(E4:E42)</f>
        <v>45977070224.584938</v>
      </c>
      <c r="F43" s="497">
        <f t="shared" si="0"/>
        <v>12280917436.371729</v>
      </c>
    </row>
    <row r="45" spans="1:6">
      <c r="D45" s="55"/>
      <c r="E45" s="55"/>
      <c r="F45" s="55"/>
    </row>
    <row r="47" spans="1:6">
      <c r="E47" s="55"/>
    </row>
    <row r="48" spans="1:6" ht="18.75">
      <c r="B48" s="519"/>
      <c r="C48" s="649"/>
      <c r="D48" s="649"/>
      <c r="E48" s="650"/>
      <c r="F48" s="650"/>
    </row>
    <row r="49" spans="2:8" ht="18.75">
      <c r="B49" s="520"/>
      <c r="C49" s="650"/>
      <c r="D49" s="650"/>
      <c r="E49" s="650"/>
      <c r="F49" s="650"/>
    </row>
    <row r="50" spans="2:8">
      <c r="D50" s="55"/>
      <c r="E50" s="55"/>
      <c r="F50" s="55"/>
      <c r="G50" s="56"/>
      <c r="H50" s="56"/>
    </row>
  </sheetData>
  <autoFilter ref="B1:B42"/>
  <sortState ref="B4:F16">
    <sortCondition ref="B4:B16"/>
  </sortState>
  <mergeCells count="6">
    <mergeCell ref="A43:B43"/>
    <mergeCell ref="A1:F2"/>
    <mergeCell ref="C48:D48"/>
    <mergeCell ref="E48:F48"/>
    <mergeCell ref="C49:D49"/>
    <mergeCell ref="E49:F49"/>
  </mergeCells>
  <pageMargins left="0.43307086614173229" right="0.31496062992125984" top="0.51181102362204722" bottom="0.31496062992125984" header="0.31496062992125984" footer="0.31496062992125984"/>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2"/>
  <sheetViews>
    <sheetView workbookViewId="0">
      <selection activeCell="D5" sqref="D5"/>
    </sheetView>
  </sheetViews>
  <sheetFormatPr defaultRowHeight="15"/>
  <cols>
    <col min="1" max="1" width="36" customWidth="1"/>
    <col min="2" max="2" width="12.140625" customWidth="1"/>
    <col min="3" max="3" width="28.5703125" customWidth="1"/>
    <col min="4" max="4" width="27" customWidth="1"/>
    <col min="5" max="5" width="26.85546875" customWidth="1"/>
    <col min="7" max="7" width="23.42578125" customWidth="1"/>
    <col min="8" max="8" width="24.7109375" customWidth="1"/>
    <col min="9" max="9" width="25.42578125" customWidth="1"/>
  </cols>
  <sheetData>
    <row r="1" spans="1:9" ht="52.5" customHeight="1" thickBot="1">
      <c r="A1" s="651" t="s">
        <v>1905</v>
      </c>
      <c r="B1" s="651"/>
      <c r="C1" s="651"/>
      <c r="D1" s="651"/>
      <c r="E1" s="651"/>
    </row>
    <row r="2" spans="1:9" ht="51" customHeight="1" thickBot="1">
      <c r="A2" s="61" t="s">
        <v>170</v>
      </c>
      <c r="B2" s="62" t="s">
        <v>171</v>
      </c>
      <c r="C2" s="63" t="s">
        <v>172</v>
      </c>
      <c r="D2" s="63" t="s">
        <v>173</v>
      </c>
      <c r="E2" s="64" t="s">
        <v>174</v>
      </c>
    </row>
    <row r="3" spans="1:9" ht="40.5" customHeight="1">
      <c r="A3" s="408" t="s">
        <v>131</v>
      </c>
      <c r="B3" s="409">
        <v>526</v>
      </c>
      <c r="C3" s="473">
        <v>9234092259</v>
      </c>
      <c r="D3" s="473">
        <v>2100151241</v>
      </c>
      <c r="E3" s="474">
        <v>3025744913</v>
      </c>
      <c r="G3" s="56"/>
      <c r="H3" s="56"/>
      <c r="I3" s="56"/>
    </row>
    <row r="4" spans="1:9" ht="40.5" customHeight="1">
      <c r="A4" s="410" t="s">
        <v>175</v>
      </c>
      <c r="B4" s="411">
        <v>79</v>
      </c>
      <c r="C4" s="475">
        <v>11205369858</v>
      </c>
      <c r="D4" s="475">
        <v>317700675</v>
      </c>
      <c r="E4" s="476">
        <v>1279881854</v>
      </c>
    </row>
    <row r="5" spans="1:9" ht="40.5" customHeight="1">
      <c r="A5" s="410" t="s">
        <v>177</v>
      </c>
      <c r="B5" s="411">
        <v>43</v>
      </c>
      <c r="C5" s="475">
        <v>1476068000</v>
      </c>
      <c r="D5" s="475">
        <v>75888689</v>
      </c>
      <c r="E5" s="476">
        <v>215522000</v>
      </c>
      <c r="G5" s="56"/>
      <c r="H5" s="56"/>
      <c r="I5" s="56"/>
    </row>
    <row r="6" spans="1:9" ht="40.5" customHeight="1">
      <c r="A6" s="410" t="s">
        <v>176</v>
      </c>
      <c r="B6" s="411">
        <v>57</v>
      </c>
      <c r="C6" s="475">
        <v>137652020</v>
      </c>
      <c r="D6" s="475">
        <v>1390274</v>
      </c>
      <c r="E6" s="476">
        <v>41439862</v>
      </c>
      <c r="G6" s="56"/>
      <c r="H6" s="56"/>
      <c r="I6" s="56"/>
    </row>
    <row r="7" spans="1:9" ht="40.5" customHeight="1">
      <c r="A7" s="410" t="s">
        <v>115</v>
      </c>
      <c r="B7" s="411">
        <v>49</v>
      </c>
      <c r="C7" s="475">
        <v>66604296830</v>
      </c>
      <c r="D7" s="475">
        <v>41865526890</v>
      </c>
      <c r="E7" s="476">
        <v>6123559190</v>
      </c>
      <c r="G7" s="56"/>
    </row>
    <row r="8" spans="1:9" ht="40.5" customHeight="1" thickBot="1">
      <c r="A8" s="410" t="s">
        <v>1527</v>
      </c>
      <c r="B8" s="411">
        <v>69</v>
      </c>
      <c r="C8" s="475">
        <v>10872407491</v>
      </c>
      <c r="D8" s="475">
        <v>1616412456</v>
      </c>
      <c r="E8" s="476">
        <v>1594769617</v>
      </c>
      <c r="G8" s="56"/>
      <c r="H8" s="56"/>
      <c r="I8" s="56"/>
    </row>
    <row r="9" spans="1:9" s="32" customFormat="1" ht="57.75" customHeight="1" thickBot="1">
      <c r="A9" s="65" t="s">
        <v>1841</v>
      </c>
      <c r="B9" s="66">
        <f>SUM(B3:B8)</f>
        <v>823</v>
      </c>
      <c r="C9" s="477">
        <f>SUM(C3:C8)</f>
        <v>99529886458</v>
      </c>
      <c r="D9" s="477">
        <f>SUM(D3:D8)</f>
        <v>45977070225</v>
      </c>
      <c r="E9" s="477">
        <f>SUM(E3:E8)</f>
        <v>12280917436</v>
      </c>
    </row>
    <row r="10" spans="1:9">
      <c r="C10" s="57"/>
    </row>
    <row r="12" spans="1:9">
      <c r="C12" s="56"/>
      <c r="D12" s="56"/>
      <c r="E12" s="56"/>
    </row>
  </sheetData>
  <autoFilter ref="A2:E9">
    <sortState ref="A3:E9">
      <sortCondition ref="B3:B8"/>
    </sortState>
  </autoFilter>
  <sortState ref="A3:E8">
    <sortCondition descending="1" ref="B3:B8"/>
  </sortState>
  <mergeCells count="1">
    <mergeCell ref="A1:E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962"/>
  <sheetViews>
    <sheetView zoomScale="70" zoomScaleNormal="70" zoomScalePageLayoutView="70" workbookViewId="0">
      <pane ySplit="5" topLeftCell="A944" activePane="bottomLeft" state="frozen"/>
      <selection pane="bottomLeft" activeCell="O923" sqref="O923"/>
    </sheetView>
  </sheetViews>
  <sheetFormatPr defaultRowHeight="15"/>
  <cols>
    <col min="1" max="1" width="6.140625" style="128" customWidth="1"/>
    <col min="2" max="2" width="22.5703125" style="8" customWidth="1"/>
    <col min="3" max="3" width="63.85546875" style="129" customWidth="1"/>
    <col min="4" max="4" width="22.28515625" style="582" customWidth="1"/>
    <col min="5" max="5" width="28.5703125" style="582" customWidth="1"/>
    <col min="6" max="6" width="16" style="540" customWidth="1"/>
    <col min="7" max="7" width="14.7109375" style="540" customWidth="1"/>
    <col min="8" max="8" width="21.5703125" style="583" customWidth="1"/>
    <col min="9" max="9" width="22.140625" style="584" customWidth="1"/>
    <col min="10" max="10" width="22" style="540" customWidth="1"/>
    <col min="11" max="11" width="20.7109375" style="540" customWidth="1"/>
    <col min="12" max="12" width="21.28515625" style="540" customWidth="1"/>
    <col min="13" max="13" width="20.5703125" style="540" customWidth="1"/>
    <col min="14" max="15" width="20.42578125" style="540" customWidth="1"/>
    <col min="16" max="16" width="32" style="127" customWidth="1"/>
    <col min="21" max="21" width="11.28515625" bestFit="1" customWidth="1"/>
  </cols>
  <sheetData>
    <row r="1" spans="1:16" ht="24.75" customHeight="1">
      <c r="A1" s="688" t="s">
        <v>184</v>
      </c>
      <c r="B1" s="689"/>
      <c r="C1" s="689"/>
      <c r="D1" s="689"/>
      <c r="E1" s="689"/>
      <c r="F1" s="689"/>
      <c r="G1" s="689"/>
      <c r="H1" s="689"/>
      <c r="I1" s="689"/>
      <c r="J1" s="689"/>
      <c r="K1" s="689"/>
      <c r="L1" s="689"/>
      <c r="M1" s="689"/>
      <c r="N1" s="689"/>
      <c r="O1" s="689"/>
      <c r="P1" s="690"/>
    </row>
    <row r="2" spans="1:16" ht="29.25" customHeight="1" thickBot="1">
      <c r="A2" s="691"/>
      <c r="B2" s="692"/>
      <c r="C2" s="692"/>
      <c r="D2" s="692"/>
      <c r="E2" s="692"/>
      <c r="F2" s="692"/>
      <c r="G2" s="692"/>
      <c r="H2" s="692"/>
      <c r="I2" s="692"/>
      <c r="J2" s="692"/>
      <c r="K2" s="692"/>
      <c r="L2" s="692"/>
      <c r="M2" s="692"/>
      <c r="N2" s="692"/>
      <c r="O2" s="692"/>
      <c r="P2" s="693"/>
    </row>
    <row r="3" spans="1:16" ht="5.0999999999999996" customHeight="1" thickBot="1">
      <c r="A3"/>
      <c r="B3"/>
      <c r="C3"/>
      <c r="D3" s="540"/>
      <c r="E3" s="540"/>
      <c r="H3" s="540"/>
      <c r="I3" s="540"/>
      <c r="P3"/>
    </row>
    <row r="4" spans="1:16" s="100" customFormat="1" ht="42" customHeight="1" thickBot="1">
      <c r="A4" s="694" t="s">
        <v>0</v>
      </c>
      <c r="B4" s="696" t="s">
        <v>1</v>
      </c>
      <c r="C4" s="696" t="s">
        <v>2</v>
      </c>
      <c r="D4" s="696" t="s">
        <v>3</v>
      </c>
      <c r="E4" s="696" t="s">
        <v>4</v>
      </c>
      <c r="F4" s="698" t="s">
        <v>5</v>
      </c>
      <c r="G4" s="699"/>
      <c r="H4" s="700" t="s">
        <v>6</v>
      </c>
      <c r="I4" s="702" t="s">
        <v>7</v>
      </c>
      <c r="J4" s="704" t="s">
        <v>8</v>
      </c>
      <c r="K4" s="705"/>
      <c r="L4" s="704" t="s">
        <v>11</v>
      </c>
      <c r="M4" s="706"/>
      <c r="N4" s="706"/>
      <c r="O4" s="705"/>
      <c r="P4" s="696" t="s">
        <v>16</v>
      </c>
    </row>
    <row r="5" spans="1:16" s="100" customFormat="1" ht="38.25" customHeight="1" thickBot="1">
      <c r="A5" s="695"/>
      <c r="B5" s="697"/>
      <c r="C5" s="697"/>
      <c r="D5" s="697"/>
      <c r="E5" s="697"/>
      <c r="F5" s="130" t="s">
        <v>17</v>
      </c>
      <c r="G5" s="130" t="s">
        <v>18</v>
      </c>
      <c r="H5" s="701"/>
      <c r="I5" s="703"/>
      <c r="J5" s="131" t="s">
        <v>9</v>
      </c>
      <c r="K5" s="131" t="s">
        <v>10</v>
      </c>
      <c r="L5" s="131" t="s">
        <v>12</v>
      </c>
      <c r="M5" s="131" t="s">
        <v>13</v>
      </c>
      <c r="N5" s="131" t="s">
        <v>14</v>
      </c>
      <c r="O5" s="131" t="s">
        <v>15</v>
      </c>
      <c r="P5" s="697"/>
    </row>
    <row r="6" spans="1:16" ht="5.0999999999999996" customHeight="1">
      <c r="A6"/>
      <c r="B6"/>
      <c r="C6"/>
      <c r="D6" s="540"/>
      <c r="E6" s="540"/>
      <c r="H6" s="540"/>
      <c r="I6" s="540"/>
      <c r="P6"/>
    </row>
    <row r="7" spans="1:16" s="68" customFormat="1" ht="37.5" customHeight="1">
      <c r="A7" s="677" t="s">
        <v>183</v>
      </c>
      <c r="B7" s="678"/>
      <c r="C7" s="678"/>
      <c r="D7" s="678"/>
      <c r="E7" s="678"/>
      <c r="F7" s="678"/>
      <c r="G7" s="678"/>
      <c r="H7" s="678"/>
      <c r="I7" s="678"/>
      <c r="J7" s="678"/>
      <c r="K7" s="678"/>
      <c r="L7" s="678"/>
      <c r="M7" s="678"/>
      <c r="N7" s="678"/>
      <c r="O7" s="678"/>
      <c r="P7" s="679"/>
    </row>
    <row r="8" spans="1:16" ht="30" customHeight="1" thickBot="1">
      <c r="A8" s="681" t="s">
        <v>114</v>
      </c>
      <c r="B8" s="682"/>
      <c r="C8" s="682"/>
      <c r="D8" s="682"/>
      <c r="E8" s="682"/>
      <c r="F8" s="682"/>
      <c r="G8" s="682"/>
      <c r="H8" s="682"/>
      <c r="I8" s="682"/>
      <c r="J8" s="682"/>
      <c r="K8" s="682"/>
      <c r="L8" s="682"/>
      <c r="M8" s="682"/>
      <c r="N8" s="682"/>
      <c r="O8" s="682"/>
      <c r="P8" s="683"/>
    </row>
    <row r="9" spans="1:16" s="102" customFormat="1" ht="43.5" customHeight="1" thickBot="1">
      <c r="A9" s="200">
        <v>1</v>
      </c>
      <c r="B9" s="200" t="s">
        <v>25</v>
      </c>
      <c r="C9" s="152" t="s">
        <v>35</v>
      </c>
      <c r="D9" s="152" t="s">
        <v>187</v>
      </c>
      <c r="E9" s="152" t="s">
        <v>1536</v>
      </c>
      <c r="F9" s="150">
        <v>44197</v>
      </c>
      <c r="G9" s="151">
        <v>44561</v>
      </c>
      <c r="H9" s="203">
        <v>1500000</v>
      </c>
      <c r="I9" s="219">
        <v>0</v>
      </c>
      <c r="J9" s="203">
        <v>1500000</v>
      </c>
      <c r="K9" s="152" t="s">
        <v>1537</v>
      </c>
      <c r="L9" s="159">
        <v>250000</v>
      </c>
      <c r="M9" s="159">
        <v>500000</v>
      </c>
      <c r="N9" s="257">
        <v>500000</v>
      </c>
      <c r="O9" s="159">
        <v>250000</v>
      </c>
      <c r="P9" s="366"/>
    </row>
    <row r="10" spans="1:16" s="10" customFormat="1" ht="30" customHeight="1" thickBot="1">
      <c r="A10" s="668" t="s">
        <v>20</v>
      </c>
      <c r="B10" s="669"/>
      <c r="C10" s="669"/>
      <c r="D10" s="669"/>
      <c r="E10" s="669"/>
      <c r="F10" s="669"/>
      <c r="G10" s="670"/>
      <c r="H10" s="220">
        <f t="shared" ref="H10:O10" si="0">SUM(H9)</f>
        <v>1500000</v>
      </c>
      <c r="I10" s="220">
        <f t="shared" si="0"/>
        <v>0</v>
      </c>
      <c r="J10" s="220">
        <f t="shared" si="0"/>
        <v>1500000</v>
      </c>
      <c r="K10" s="220">
        <f t="shared" si="0"/>
        <v>0</v>
      </c>
      <c r="L10" s="220">
        <f t="shared" si="0"/>
        <v>250000</v>
      </c>
      <c r="M10" s="220">
        <f t="shared" si="0"/>
        <v>500000</v>
      </c>
      <c r="N10" s="220">
        <f t="shared" si="0"/>
        <v>500000</v>
      </c>
      <c r="O10" s="220">
        <f t="shared" si="0"/>
        <v>250000</v>
      </c>
      <c r="P10" s="116"/>
    </row>
    <row r="11" spans="1:16" ht="15" customHeight="1" thickBot="1">
      <c r="A11" s="671"/>
      <c r="B11" s="672"/>
      <c r="C11" s="672"/>
      <c r="D11" s="672"/>
      <c r="E11" s="672"/>
      <c r="F11" s="672"/>
      <c r="G11" s="672"/>
      <c r="H11" s="672"/>
      <c r="I11" s="672"/>
      <c r="J11" s="672"/>
      <c r="K11" s="672"/>
      <c r="L11" s="672"/>
      <c r="M11" s="672"/>
      <c r="N11" s="672"/>
      <c r="O11" s="672"/>
      <c r="P11" s="673"/>
    </row>
    <row r="12" spans="1:16" ht="30" customHeight="1" thickBot="1">
      <c r="A12" s="652" t="s">
        <v>122</v>
      </c>
      <c r="B12" s="653"/>
      <c r="C12" s="653"/>
      <c r="D12" s="653"/>
      <c r="E12" s="653"/>
      <c r="F12" s="653"/>
      <c r="G12" s="653"/>
      <c r="H12" s="653"/>
      <c r="I12" s="653"/>
      <c r="J12" s="653"/>
      <c r="K12" s="653"/>
      <c r="L12" s="653"/>
      <c r="M12" s="653"/>
      <c r="N12" s="653"/>
      <c r="O12" s="653"/>
      <c r="P12" s="654"/>
    </row>
    <row r="13" spans="1:16" s="101" customFormat="1" ht="38.25" customHeight="1">
      <c r="A13" s="375">
        <v>1</v>
      </c>
      <c r="B13" s="200" t="s">
        <v>36</v>
      </c>
      <c r="C13" s="173" t="s">
        <v>399</v>
      </c>
      <c r="D13" s="172" t="s">
        <v>357</v>
      </c>
      <c r="E13" s="174" t="s">
        <v>400</v>
      </c>
      <c r="F13" s="174">
        <v>39188</v>
      </c>
      <c r="G13" s="156">
        <v>44561</v>
      </c>
      <c r="H13" s="175">
        <v>99000</v>
      </c>
      <c r="I13" s="175">
        <v>0</v>
      </c>
      <c r="J13" s="175">
        <f t="shared" ref="J13:J59" si="1">H13-I13</f>
        <v>99000</v>
      </c>
      <c r="K13" s="176">
        <v>0</v>
      </c>
      <c r="L13" s="176">
        <v>0</v>
      </c>
      <c r="M13" s="176">
        <v>19800</v>
      </c>
      <c r="N13" s="176">
        <v>0</v>
      </c>
      <c r="O13" s="176">
        <v>79200</v>
      </c>
      <c r="P13" s="177"/>
    </row>
    <row r="14" spans="1:16" s="101" customFormat="1" ht="38.25" customHeight="1">
      <c r="A14" s="376">
        <v>2</v>
      </c>
      <c r="B14" s="200" t="s">
        <v>36</v>
      </c>
      <c r="C14" s="178" t="s">
        <v>401</v>
      </c>
      <c r="D14" s="172" t="s">
        <v>196</v>
      </c>
      <c r="E14" s="174" t="s">
        <v>400</v>
      </c>
      <c r="F14" s="174">
        <v>40659</v>
      </c>
      <c r="G14" s="156">
        <v>44561</v>
      </c>
      <c r="H14" s="175">
        <v>198000</v>
      </c>
      <c r="I14" s="175">
        <v>0</v>
      </c>
      <c r="J14" s="175">
        <f t="shared" si="1"/>
        <v>198000</v>
      </c>
      <c r="K14" s="176">
        <v>0</v>
      </c>
      <c r="L14" s="176">
        <v>0</v>
      </c>
      <c r="M14" s="176">
        <v>39600</v>
      </c>
      <c r="N14" s="176">
        <v>0</v>
      </c>
      <c r="O14" s="176">
        <v>158400</v>
      </c>
      <c r="P14" s="179"/>
    </row>
    <row r="15" spans="1:16" s="101" customFormat="1" ht="38.25" customHeight="1">
      <c r="A15" s="376">
        <v>3</v>
      </c>
      <c r="B15" s="200" t="s">
        <v>36</v>
      </c>
      <c r="C15" s="173" t="s">
        <v>402</v>
      </c>
      <c r="D15" s="172" t="s">
        <v>403</v>
      </c>
      <c r="E15" s="174" t="s">
        <v>400</v>
      </c>
      <c r="F15" s="155">
        <v>42352</v>
      </c>
      <c r="G15" s="156">
        <v>44561</v>
      </c>
      <c r="H15" s="176">
        <v>248000</v>
      </c>
      <c r="I15" s="176">
        <v>47160</v>
      </c>
      <c r="J15" s="175">
        <f t="shared" si="1"/>
        <v>200840</v>
      </c>
      <c r="K15" s="176">
        <v>0</v>
      </c>
      <c r="L15" s="176">
        <v>0</v>
      </c>
      <c r="M15" s="176">
        <v>0</v>
      </c>
      <c r="N15" s="176">
        <v>0</v>
      </c>
      <c r="O15" s="176">
        <v>200840</v>
      </c>
      <c r="P15" s="179"/>
    </row>
    <row r="16" spans="1:16" s="101" customFormat="1" ht="38.25" customHeight="1">
      <c r="A16" s="375">
        <v>4</v>
      </c>
      <c r="B16" s="200" t="s">
        <v>36</v>
      </c>
      <c r="C16" s="160" t="s">
        <v>404</v>
      </c>
      <c r="D16" s="165" t="s">
        <v>403</v>
      </c>
      <c r="E16" s="174" t="s">
        <v>400</v>
      </c>
      <c r="F16" s="180">
        <v>42724</v>
      </c>
      <c r="G16" s="156">
        <v>44561</v>
      </c>
      <c r="H16" s="176">
        <v>85000</v>
      </c>
      <c r="I16" s="176">
        <v>0</v>
      </c>
      <c r="J16" s="175">
        <f t="shared" si="1"/>
        <v>85000</v>
      </c>
      <c r="K16" s="176">
        <v>0</v>
      </c>
      <c r="L16" s="176">
        <v>0</v>
      </c>
      <c r="M16" s="176">
        <v>0</v>
      </c>
      <c r="N16" s="176">
        <v>17000</v>
      </c>
      <c r="O16" s="176">
        <v>68000</v>
      </c>
      <c r="P16" s="179"/>
    </row>
    <row r="17" spans="1:16" s="101" customFormat="1" ht="38.25" customHeight="1">
      <c r="A17" s="376">
        <v>5</v>
      </c>
      <c r="B17" s="200" t="s">
        <v>36</v>
      </c>
      <c r="C17" s="178" t="s">
        <v>405</v>
      </c>
      <c r="D17" s="172" t="s">
        <v>406</v>
      </c>
      <c r="E17" s="174" t="s">
        <v>400</v>
      </c>
      <c r="F17" s="180">
        <v>42843</v>
      </c>
      <c r="G17" s="156">
        <v>44561</v>
      </c>
      <c r="H17" s="181">
        <v>70000</v>
      </c>
      <c r="I17" s="181">
        <v>13225</v>
      </c>
      <c r="J17" s="175">
        <f t="shared" si="1"/>
        <v>56775</v>
      </c>
      <c r="K17" s="176">
        <v>0</v>
      </c>
      <c r="L17" s="176">
        <v>56775</v>
      </c>
      <c r="M17" s="144">
        <v>0</v>
      </c>
      <c r="N17" s="176">
        <v>0</v>
      </c>
      <c r="O17" s="517">
        <v>0</v>
      </c>
      <c r="P17" s="179"/>
    </row>
    <row r="18" spans="1:16" s="101" customFormat="1" ht="38.25" customHeight="1">
      <c r="A18" s="376">
        <v>6</v>
      </c>
      <c r="B18" s="200" t="s">
        <v>36</v>
      </c>
      <c r="C18" s="161" t="s">
        <v>407</v>
      </c>
      <c r="D18" s="158" t="s">
        <v>357</v>
      </c>
      <c r="E18" s="174" t="s">
        <v>400</v>
      </c>
      <c r="F18" s="180">
        <v>43714</v>
      </c>
      <c r="G18" s="156">
        <v>44348</v>
      </c>
      <c r="H18" s="181">
        <v>90624</v>
      </c>
      <c r="I18" s="181">
        <v>0</v>
      </c>
      <c r="J18" s="175">
        <f t="shared" si="1"/>
        <v>90624</v>
      </c>
      <c r="K18" s="176">
        <v>0</v>
      </c>
      <c r="L18" s="176">
        <v>0</v>
      </c>
      <c r="M18" s="517">
        <v>0</v>
      </c>
      <c r="N18" s="176">
        <v>0</v>
      </c>
      <c r="O18" s="144">
        <v>90624</v>
      </c>
      <c r="P18" s="179"/>
    </row>
    <row r="19" spans="1:16" s="101" customFormat="1" ht="38.25" customHeight="1">
      <c r="A19" s="375">
        <v>7</v>
      </c>
      <c r="B19" s="200" t="s">
        <v>36</v>
      </c>
      <c r="C19" s="161" t="s">
        <v>408</v>
      </c>
      <c r="D19" s="158" t="s">
        <v>406</v>
      </c>
      <c r="E19" s="174" t="s">
        <v>400</v>
      </c>
      <c r="F19" s="180">
        <v>42951</v>
      </c>
      <c r="G19" s="156">
        <v>44561</v>
      </c>
      <c r="H19" s="181">
        <v>62540</v>
      </c>
      <c r="I19" s="181">
        <v>0</v>
      </c>
      <c r="J19" s="175">
        <f t="shared" si="1"/>
        <v>62540</v>
      </c>
      <c r="K19" s="176">
        <v>0</v>
      </c>
      <c r="L19" s="176">
        <v>0</v>
      </c>
      <c r="M19" s="176">
        <v>0</v>
      </c>
      <c r="N19" s="176">
        <v>0</v>
      </c>
      <c r="O19" s="176">
        <v>62540</v>
      </c>
      <c r="P19" s="179"/>
    </row>
    <row r="20" spans="1:16" s="31" customFormat="1" ht="38.25" customHeight="1">
      <c r="A20" s="376">
        <v>8</v>
      </c>
      <c r="B20" s="200" t="s">
        <v>36</v>
      </c>
      <c r="C20" s="161" t="s">
        <v>409</v>
      </c>
      <c r="D20" s="158" t="s">
        <v>406</v>
      </c>
      <c r="E20" s="174" t="s">
        <v>400</v>
      </c>
      <c r="F20" s="180">
        <v>43308</v>
      </c>
      <c r="G20" s="156">
        <v>44561</v>
      </c>
      <c r="H20" s="181">
        <v>65490</v>
      </c>
      <c r="I20" s="181">
        <v>0</v>
      </c>
      <c r="J20" s="175">
        <f t="shared" si="1"/>
        <v>65490</v>
      </c>
      <c r="K20" s="176">
        <v>0</v>
      </c>
      <c r="L20" s="176">
        <v>0</v>
      </c>
      <c r="M20" s="176">
        <v>0</v>
      </c>
      <c r="N20" s="176">
        <v>0</v>
      </c>
      <c r="O20" s="176">
        <v>65490</v>
      </c>
      <c r="P20" s="179"/>
    </row>
    <row r="21" spans="1:16" s="31" customFormat="1" ht="38.25" customHeight="1">
      <c r="A21" s="376">
        <v>9</v>
      </c>
      <c r="B21" s="200" t="s">
        <v>36</v>
      </c>
      <c r="C21" s="178" t="s">
        <v>410</v>
      </c>
      <c r="D21" s="172" t="s">
        <v>403</v>
      </c>
      <c r="E21" s="174" t="s">
        <v>400</v>
      </c>
      <c r="F21" s="181" t="s">
        <v>411</v>
      </c>
      <c r="G21" s="156">
        <v>44561</v>
      </c>
      <c r="H21" s="181">
        <v>220000</v>
      </c>
      <c r="I21" s="181">
        <v>41074</v>
      </c>
      <c r="J21" s="175">
        <f t="shared" si="1"/>
        <v>178926</v>
      </c>
      <c r="K21" s="176">
        <v>0</v>
      </c>
      <c r="L21" s="176">
        <v>178926</v>
      </c>
      <c r="M21" s="144">
        <v>0</v>
      </c>
      <c r="N21" s="176">
        <v>0</v>
      </c>
      <c r="O21" s="517">
        <v>0</v>
      </c>
      <c r="P21" s="179"/>
    </row>
    <row r="22" spans="1:16" s="31" customFormat="1" ht="38.25" customHeight="1">
      <c r="A22" s="375">
        <v>10</v>
      </c>
      <c r="B22" s="200" t="s">
        <v>36</v>
      </c>
      <c r="C22" s="178" t="s">
        <v>412</v>
      </c>
      <c r="D22" s="172" t="s">
        <v>403</v>
      </c>
      <c r="E22" s="174" t="s">
        <v>400</v>
      </c>
      <c r="F22" s="181" t="s">
        <v>413</v>
      </c>
      <c r="G22" s="156">
        <v>44561</v>
      </c>
      <c r="H22" s="181">
        <v>164300</v>
      </c>
      <c r="I22" s="181">
        <v>0</v>
      </c>
      <c r="J22" s="175">
        <f t="shared" si="1"/>
        <v>164300</v>
      </c>
      <c r="K22" s="176">
        <v>0</v>
      </c>
      <c r="L22" s="176">
        <v>0</v>
      </c>
      <c r="M22" s="144">
        <v>32860</v>
      </c>
      <c r="N22" s="176">
        <v>0</v>
      </c>
      <c r="O22" s="176">
        <v>131440</v>
      </c>
      <c r="P22" s="179"/>
    </row>
    <row r="23" spans="1:16" s="31" customFormat="1" ht="38.25" customHeight="1">
      <c r="A23" s="376">
        <v>11</v>
      </c>
      <c r="B23" s="200" t="s">
        <v>36</v>
      </c>
      <c r="C23" s="182" t="s">
        <v>414</v>
      </c>
      <c r="D23" s="156" t="s">
        <v>403</v>
      </c>
      <c r="E23" s="174" t="s">
        <v>400</v>
      </c>
      <c r="F23" s="156">
        <v>43824</v>
      </c>
      <c r="G23" s="156">
        <v>44280</v>
      </c>
      <c r="H23" s="144">
        <v>410000</v>
      </c>
      <c r="I23" s="144">
        <v>0</v>
      </c>
      <c r="J23" s="175">
        <f t="shared" si="1"/>
        <v>410000</v>
      </c>
      <c r="K23" s="176">
        <v>0</v>
      </c>
      <c r="L23" s="176">
        <v>79892</v>
      </c>
      <c r="M23" s="144">
        <v>0</v>
      </c>
      <c r="N23" s="176">
        <v>0</v>
      </c>
      <c r="O23" s="176">
        <v>330108</v>
      </c>
      <c r="P23" s="179"/>
    </row>
    <row r="24" spans="1:16" s="31" customFormat="1" ht="38.25" customHeight="1">
      <c r="A24" s="376">
        <v>12</v>
      </c>
      <c r="B24" s="200" t="s">
        <v>36</v>
      </c>
      <c r="C24" s="140" t="s">
        <v>415</v>
      </c>
      <c r="D24" s="176" t="s">
        <v>403</v>
      </c>
      <c r="E24" s="174" t="s">
        <v>416</v>
      </c>
      <c r="F24" s="181" t="s">
        <v>417</v>
      </c>
      <c r="G24" s="183">
        <v>44389</v>
      </c>
      <c r="H24" s="175">
        <v>20797695</v>
      </c>
      <c r="I24" s="175">
        <v>9081959</v>
      </c>
      <c r="J24" s="175">
        <f t="shared" si="1"/>
        <v>11715736</v>
      </c>
      <c r="K24" s="176">
        <v>0</v>
      </c>
      <c r="L24" s="518">
        <v>0</v>
      </c>
      <c r="M24" s="176">
        <v>3905245</v>
      </c>
      <c r="N24" s="176">
        <v>3905245</v>
      </c>
      <c r="O24" s="176">
        <v>3905245</v>
      </c>
      <c r="P24" s="179"/>
    </row>
    <row r="25" spans="1:16" s="31" customFormat="1" ht="38.25" customHeight="1">
      <c r="A25" s="375">
        <v>13</v>
      </c>
      <c r="B25" s="200" t="s">
        <v>36</v>
      </c>
      <c r="C25" s="173" t="s">
        <v>418</v>
      </c>
      <c r="D25" s="184" t="s">
        <v>403</v>
      </c>
      <c r="E25" s="174" t="s">
        <v>416</v>
      </c>
      <c r="F25" s="185" t="s">
        <v>419</v>
      </c>
      <c r="G25" s="183" t="s">
        <v>420</v>
      </c>
      <c r="H25" s="175">
        <v>79401539.140000001</v>
      </c>
      <c r="I25" s="144">
        <v>66011907.75</v>
      </c>
      <c r="J25" s="175">
        <f t="shared" si="1"/>
        <v>13389631.390000001</v>
      </c>
      <c r="K25" s="176">
        <v>0</v>
      </c>
      <c r="L25" s="518">
        <v>0</v>
      </c>
      <c r="M25" s="176">
        <v>4463210</v>
      </c>
      <c r="N25" s="176">
        <v>4463210</v>
      </c>
      <c r="O25" s="176">
        <v>4463210</v>
      </c>
      <c r="P25" s="179"/>
    </row>
    <row r="26" spans="1:16" s="31" customFormat="1" ht="38.25" customHeight="1">
      <c r="A26" s="376">
        <v>14</v>
      </c>
      <c r="B26" s="200" t="s">
        <v>36</v>
      </c>
      <c r="C26" s="186" t="s">
        <v>421</v>
      </c>
      <c r="D26" s="172" t="s">
        <v>403</v>
      </c>
      <c r="E26" s="181" t="s">
        <v>416</v>
      </c>
      <c r="F26" s="155">
        <v>42353</v>
      </c>
      <c r="G26" s="156">
        <v>44321</v>
      </c>
      <c r="H26" s="175">
        <v>22326635.699999999</v>
      </c>
      <c r="I26" s="175">
        <v>19209033.91</v>
      </c>
      <c r="J26" s="175">
        <f t="shared" si="1"/>
        <v>3117601.7899999991</v>
      </c>
      <c r="K26" s="176">
        <v>0</v>
      </c>
      <c r="L26" s="176">
        <v>49374</v>
      </c>
      <c r="M26" s="176">
        <v>1541812</v>
      </c>
      <c r="N26" s="176">
        <v>1541811</v>
      </c>
      <c r="O26" s="176">
        <v>0</v>
      </c>
      <c r="P26" s="179"/>
    </row>
    <row r="27" spans="1:16" s="31" customFormat="1" ht="38.25" customHeight="1">
      <c r="A27" s="376">
        <v>15</v>
      </c>
      <c r="B27" s="200" t="s">
        <v>36</v>
      </c>
      <c r="C27" s="160" t="s">
        <v>422</v>
      </c>
      <c r="D27" s="165" t="s">
        <v>403</v>
      </c>
      <c r="E27" s="181" t="s">
        <v>416</v>
      </c>
      <c r="F27" s="183" t="s">
        <v>423</v>
      </c>
      <c r="G27" s="183">
        <v>44227</v>
      </c>
      <c r="H27" s="175">
        <v>10988096</v>
      </c>
      <c r="I27" s="144">
        <v>8838282.5299999993</v>
      </c>
      <c r="J27" s="175">
        <f t="shared" si="1"/>
        <v>2149813.4700000007</v>
      </c>
      <c r="K27" s="176">
        <v>0</v>
      </c>
      <c r="L27" s="176">
        <v>2110420</v>
      </c>
      <c r="M27" s="144">
        <v>39393</v>
      </c>
      <c r="N27" s="176">
        <v>0</v>
      </c>
      <c r="O27" s="176">
        <v>0</v>
      </c>
      <c r="P27" s="179"/>
    </row>
    <row r="28" spans="1:16" s="31" customFormat="1" ht="38.25" customHeight="1">
      <c r="A28" s="375">
        <v>16</v>
      </c>
      <c r="B28" s="200" t="s">
        <v>36</v>
      </c>
      <c r="C28" s="160" t="s">
        <v>424</v>
      </c>
      <c r="D28" s="165" t="s">
        <v>425</v>
      </c>
      <c r="E28" s="181" t="s">
        <v>416</v>
      </c>
      <c r="F28" s="183">
        <v>42793</v>
      </c>
      <c r="G28" s="183">
        <v>44357</v>
      </c>
      <c r="H28" s="175">
        <v>3222229.26</v>
      </c>
      <c r="I28" s="144">
        <v>3203123.34</v>
      </c>
      <c r="J28" s="175">
        <f t="shared" si="1"/>
        <v>19105.919999999925</v>
      </c>
      <c r="K28" s="176">
        <v>0</v>
      </c>
      <c r="L28" s="518">
        <v>0</v>
      </c>
      <c r="M28" s="176">
        <v>19106</v>
      </c>
      <c r="N28" s="176">
        <v>0</v>
      </c>
      <c r="O28" s="176">
        <v>0</v>
      </c>
      <c r="P28" s="179"/>
    </row>
    <row r="29" spans="1:16" s="31" customFormat="1" ht="38.25" customHeight="1">
      <c r="A29" s="376">
        <v>17</v>
      </c>
      <c r="B29" s="200" t="s">
        <v>36</v>
      </c>
      <c r="C29" s="160" t="s">
        <v>426</v>
      </c>
      <c r="D29" s="165" t="s">
        <v>354</v>
      </c>
      <c r="E29" s="181" t="s">
        <v>416</v>
      </c>
      <c r="F29" s="183">
        <v>42647</v>
      </c>
      <c r="G29" s="183">
        <v>44456</v>
      </c>
      <c r="H29" s="175">
        <v>43226927.299999997</v>
      </c>
      <c r="I29" s="144">
        <v>27007995.859999999</v>
      </c>
      <c r="J29" s="175">
        <f t="shared" si="1"/>
        <v>16218931.439999998</v>
      </c>
      <c r="K29" s="176">
        <v>0</v>
      </c>
      <c r="L29" s="518">
        <v>0</v>
      </c>
      <c r="M29" s="176">
        <v>5406310</v>
      </c>
      <c r="N29" s="176">
        <v>5406310</v>
      </c>
      <c r="O29" s="176">
        <v>5406310</v>
      </c>
      <c r="P29" s="179"/>
    </row>
    <row r="30" spans="1:16" s="31" customFormat="1" ht="38.25" customHeight="1">
      <c r="A30" s="376">
        <v>18</v>
      </c>
      <c r="B30" s="200" t="s">
        <v>36</v>
      </c>
      <c r="C30" s="160" t="s">
        <v>427</v>
      </c>
      <c r="D30" s="165" t="s">
        <v>428</v>
      </c>
      <c r="E30" s="181" t="s">
        <v>416</v>
      </c>
      <c r="F30" s="183">
        <v>42606</v>
      </c>
      <c r="G30" s="183">
        <v>44270</v>
      </c>
      <c r="H30" s="175">
        <v>13279257.810000001</v>
      </c>
      <c r="I30" s="144">
        <v>9894630.0500000007</v>
      </c>
      <c r="J30" s="175">
        <f t="shared" si="1"/>
        <v>3384627.76</v>
      </c>
      <c r="K30" s="176">
        <v>0</v>
      </c>
      <c r="L30" s="518">
        <v>0</v>
      </c>
      <c r="M30" s="176">
        <v>3384628</v>
      </c>
      <c r="N30" s="176">
        <v>0</v>
      </c>
      <c r="O30" s="176">
        <v>0</v>
      </c>
      <c r="P30" s="179"/>
    </row>
    <row r="31" spans="1:16" s="31" customFormat="1" ht="38.25" customHeight="1">
      <c r="A31" s="375">
        <v>19</v>
      </c>
      <c r="B31" s="200" t="s">
        <v>36</v>
      </c>
      <c r="C31" s="178" t="s">
        <v>429</v>
      </c>
      <c r="D31" s="172" t="s">
        <v>403</v>
      </c>
      <c r="E31" s="181" t="s">
        <v>416</v>
      </c>
      <c r="F31" s="187">
        <v>43056</v>
      </c>
      <c r="G31" s="187">
        <v>44372</v>
      </c>
      <c r="H31" s="144">
        <v>4806071</v>
      </c>
      <c r="I31" s="144">
        <v>3897775.34</v>
      </c>
      <c r="J31" s="175">
        <f t="shared" si="1"/>
        <v>908295.66000000015</v>
      </c>
      <c r="K31" s="176">
        <v>0</v>
      </c>
      <c r="L31" s="176">
        <v>367212</v>
      </c>
      <c r="M31" s="176">
        <v>541083</v>
      </c>
      <c r="N31" s="176">
        <v>0</v>
      </c>
      <c r="O31" s="176">
        <v>0</v>
      </c>
      <c r="P31" s="179"/>
    </row>
    <row r="32" spans="1:16" s="31" customFormat="1" ht="38.25" customHeight="1">
      <c r="A32" s="376">
        <v>20</v>
      </c>
      <c r="B32" s="200" t="s">
        <v>36</v>
      </c>
      <c r="C32" s="178" t="s">
        <v>430</v>
      </c>
      <c r="D32" s="172" t="s">
        <v>403</v>
      </c>
      <c r="E32" s="181" t="s">
        <v>416</v>
      </c>
      <c r="F32" s="187">
        <v>43035</v>
      </c>
      <c r="G32" s="187">
        <v>44387</v>
      </c>
      <c r="H32" s="144">
        <v>14669303.91</v>
      </c>
      <c r="I32" s="144">
        <v>8574315.0600000005</v>
      </c>
      <c r="J32" s="175">
        <f t="shared" si="1"/>
        <v>6094988.8499999996</v>
      </c>
      <c r="K32" s="176">
        <v>0</v>
      </c>
      <c r="L32" s="176">
        <v>0</v>
      </c>
      <c r="M32" s="144">
        <v>3047494</v>
      </c>
      <c r="N32" s="144">
        <v>3047494</v>
      </c>
      <c r="O32" s="176">
        <v>0</v>
      </c>
      <c r="P32" s="179"/>
    </row>
    <row r="33" spans="1:16" s="31" customFormat="1" ht="38.25" customHeight="1">
      <c r="A33" s="376">
        <v>21</v>
      </c>
      <c r="B33" s="200" t="s">
        <v>36</v>
      </c>
      <c r="C33" s="178" t="s">
        <v>431</v>
      </c>
      <c r="D33" s="172" t="s">
        <v>403</v>
      </c>
      <c r="E33" s="181" t="s">
        <v>416</v>
      </c>
      <c r="F33" s="187">
        <v>42741</v>
      </c>
      <c r="G33" s="187">
        <v>44233</v>
      </c>
      <c r="H33" s="144">
        <v>3936108.55</v>
      </c>
      <c r="I33" s="144">
        <v>2625858.19</v>
      </c>
      <c r="J33" s="175">
        <f t="shared" si="1"/>
        <v>1310250.3599999999</v>
      </c>
      <c r="K33" s="176">
        <v>0</v>
      </c>
      <c r="L33" s="176">
        <v>261548</v>
      </c>
      <c r="M33" s="176">
        <v>1120105</v>
      </c>
      <c r="N33" s="176">
        <v>0</v>
      </c>
      <c r="O33" s="176">
        <v>0</v>
      </c>
      <c r="P33" s="179"/>
    </row>
    <row r="34" spans="1:16" s="31" customFormat="1" ht="38.25" customHeight="1">
      <c r="A34" s="375">
        <v>22</v>
      </c>
      <c r="B34" s="200" t="s">
        <v>36</v>
      </c>
      <c r="C34" s="178" t="s">
        <v>432</v>
      </c>
      <c r="D34" s="172" t="s">
        <v>403</v>
      </c>
      <c r="E34" s="181" t="s">
        <v>416</v>
      </c>
      <c r="F34" s="187">
        <v>43025</v>
      </c>
      <c r="G34" s="187">
        <v>44283</v>
      </c>
      <c r="H34" s="175">
        <v>2610274.5699999998</v>
      </c>
      <c r="I34" s="144">
        <v>2311292.52</v>
      </c>
      <c r="J34" s="175">
        <f t="shared" si="1"/>
        <v>298982.04999999981</v>
      </c>
      <c r="K34" s="176">
        <v>0</v>
      </c>
      <c r="L34" s="176">
        <v>0</v>
      </c>
      <c r="M34" s="176">
        <v>298982</v>
      </c>
      <c r="N34" s="176">
        <v>0</v>
      </c>
      <c r="O34" s="176">
        <v>0</v>
      </c>
      <c r="P34" s="179"/>
    </row>
    <row r="35" spans="1:16" s="31" customFormat="1" ht="38.25" customHeight="1">
      <c r="A35" s="376">
        <v>23</v>
      </c>
      <c r="B35" s="200" t="s">
        <v>36</v>
      </c>
      <c r="C35" s="178" t="s">
        <v>433</v>
      </c>
      <c r="D35" s="172" t="s">
        <v>434</v>
      </c>
      <c r="E35" s="181" t="s">
        <v>416</v>
      </c>
      <c r="F35" s="187">
        <v>43112</v>
      </c>
      <c r="G35" s="187">
        <v>44231</v>
      </c>
      <c r="H35" s="175">
        <v>32096239</v>
      </c>
      <c r="I35" s="144">
        <v>20149547.710000001</v>
      </c>
      <c r="J35" s="175">
        <f t="shared" si="1"/>
        <v>11946691.289999999</v>
      </c>
      <c r="K35" s="176">
        <v>0</v>
      </c>
      <c r="L35" s="176">
        <v>6408971</v>
      </c>
      <c r="M35" s="144">
        <v>2768860</v>
      </c>
      <c r="N35" s="144">
        <v>2768860</v>
      </c>
      <c r="O35" s="176">
        <v>0</v>
      </c>
      <c r="P35" s="188"/>
    </row>
    <row r="36" spans="1:16" s="31" customFormat="1" ht="38.25" customHeight="1">
      <c r="A36" s="376">
        <v>24</v>
      </c>
      <c r="B36" s="200" t="s">
        <v>36</v>
      </c>
      <c r="C36" s="178" t="s">
        <v>435</v>
      </c>
      <c r="D36" s="172" t="s">
        <v>403</v>
      </c>
      <c r="E36" s="181" t="s">
        <v>416</v>
      </c>
      <c r="F36" s="187">
        <v>43136</v>
      </c>
      <c r="G36" s="187">
        <v>44547</v>
      </c>
      <c r="H36" s="175">
        <v>12247829.560000001</v>
      </c>
      <c r="I36" s="144">
        <v>7980804.7000000002</v>
      </c>
      <c r="J36" s="175">
        <f t="shared" si="1"/>
        <v>4267024.8600000003</v>
      </c>
      <c r="K36" s="176">
        <v>0</v>
      </c>
      <c r="L36" s="176">
        <v>0</v>
      </c>
      <c r="M36" s="176">
        <v>1422341</v>
      </c>
      <c r="N36" s="176">
        <v>1422341</v>
      </c>
      <c r="O36" s="176">
        <v>1422341</v>
      </c>
      <c r="P36" s="188"/>
    </row>
    <row r="37" spans="1:16" s="31" customFormat="1" ht="38.25" customHeight="1">
      <c r="A37" s="375">
        <v>25</v>
      </c>
      <c r="B37" s="200" t="s">
        <v>36</v>
      </c>
      <c r="C37" s="178" t="s">
        <v>436</v>
      </c>
      <c r="D37" s="172" t="s">
        <v>403</v>
      </c>
      <c r="E37" s="181" t="s">
        <v>416</v>
      </c>
      <c r="F37" s="187">
        <v>42965</v>
      </c>
      <c r="G37" s="187">
        <v>44232</v>
      </c>
      <c r="H37" s="144">
        <v>3749609.61</v>
      </c>
      <c r="I37" s="144">
        <v>2872435.56</v>
      </c>
      <c r="J37" s="175">
        <f t="shared" si="1"/>
        <v>877174.04999999981</v>
      </c>
      <c r="K37" s="176">
        <v>0</v>
      </c>
      <c r="L37" s="175">
        <v>0</v>
      </c>
      <c r="M37" s="175">
        <v>877174</v>
      </c>
      <c r="N37" s="176">
        <v>0</v>
      </c>
      <c r="O37" s="176">
        <v>0</v>
      </c>
      <c r="P37" s="188"/>
    </row>
    <row r="38" spans="1:16" s="31" customFormat="1" ht="38.25" customHeight="1">
      <c r="A38" s="376">
        <v>26</v>
      </c>
      <c r="B38" s="200" t="s">
        <v>36</v>
      </c>
      <c r="C38" s="178" t="s">
        <v>437</v>
      </c>
      <c r="D38" s="172" t="s">
        <v>403</v>
      </c>
      <c r="E38" s="181" t="s">
        <v>416</v>
      </c>
      <c r="F38" s="187">
        <v>43171</v>
      </c>
      <c r="G38" s="187">
        <v>44272</v>
      </c>
      <c r="H38" s="144">
        <v>4476594.3600000003</v>
      </c>
      <c r="I38" s="144">
        <v>4337691.2</v>
      </c>
      <c r="J38" s="175">
        <f t="shared" si="1"/>
        <v>138903.16000000015</v>
      </c>
      <c r="K38" s="176">
        <v>0</v>
      </c>
      <c r="L38" s="175">
        <v>238190</v>
      </c>
      <c r="M38" s="144">
        <v>0</v>
      </c>
      <c r="N38" s="176">
        <v>0</v>
      </c>
      <c r="O38" s="176">
        <v>0</v>
      </c>
      <c r="P38" s="188"/>
    </row>
    <row r="39" spans="1:16" s="31" customFormat="1" ht="38.25" customHeight="1">
      <c r="A39" s="376">
        <v>27</v>
      </c>
      <c r="B39" s="200" t="s">
        <v>36</v>
      </c>
      <c r="C39" s="178" t="s">
        <v>438</v>
      </c>
      <c r="D39" s="158" t="s">
        <v>357</v>
      </c>
      <c r="E39" s="181" t="s">
        <v>416</v>
      </c>
      <c r="F39" s="189" t="s">
        <v>439</v>
      </c>
      <c r="G39" s="183">
        <v>44229</v>
      </c>
      <c r="H39" s="144">
        <v>21820075.170000002</v>
      </c>
      <c r="I39" s="144">
        <v>21070909.170000002</v>
      </c>
      <c r="J39" s="175">
        <f t="shared" si="1"/>
        <v>749166</v>
      </c>
      <c r="K39" s="176">
        <v>0</v>
      </c>
      <c r="L39" s="175">
        <v>0</v>
      </c>
      <c r="M39" s="144">
        <v>749166</v>
      </c>
      <c r="N39" s="176">
        <v>0</v>
      </c>
      <c r="O39" s="176">
        <v>0</v>
      </c>
      <c r="P39" s="188"/>
    </row>
    <row r="40" spans="1:16" s="31" customFormat="1" ht="38.25" customHeight="1">
      <c r="A40" s="375">
        <v>28</v>
      </c>
      <c r="B40" s="200" t="s">
        <v>36</v>
      </c>
      <c r="C40" s="178" t="s">
        <v>440</v>
      </c>
      <c r="D40" s="158" t="s">
        <v>403</v>
      </c>
      <c r="E40" s="181" t="s">
        <v>416</v>
      </c>
      <c r="F40" s="156">
        <v>43388</v>
      </c>
      <c r="G40" s="156">
        <v>44228</v>
      </c>
      <c r="H40" s="144">
        <v>8576466.6099999994</v>
      </c>
      <c r="I40" s="144">
        <v>3730291.29</v>
      </c>
      <c r="J40" s="175">
        <f t="shared" si="1"/>
        <v>4846175.3199999994</v>
      </c>
      <c r="K40" s="176">
        <v>0</v>
      </c>
      <c r="L40" s="175">
        <v>0</v>
      </c>
      <c r="M40" s="144">
        <v>1615392</v>
      </c>
      <c r="N40" s="144">
        <v>1615392</v>
      </c>
      <c r="O40" s="144">
        <v>1615391</v>
      </c>
      <c r="P40" s="188"/>
    </row>
    <row r="41" spans="1:16" s="31" customFormat="1" ht="38.25" customHeight="1">
      <c r="A41" s="376">
        <v>29</v>
      </c>
      <c r="B41" s="200" t="s">
        <v>36</v>
      </c>
      <c r="C41" s="178" t="s">
        <v>441</v>
      </c>
      <c r="D41" s="158" t="s">
        <v>403</v>
      </c>
      <c r="E41" s="181" t="s">
        <v>416</v>
      </c>
      <c r="F41" s="156">
        <v>43465</v>
      </c>
      <c r="G41" s="183">
        <v>44360</v>
      </c>
      <c r="H41" s="144">
        <v>10503331.939999999</v>
      </c>
      <c r="I41" s="144">
        <v>2378431.85</v>
      </c>
      <c r="J41" s="175">
        <f t="shared" si="1"/>
        <v>8124900.0899999999</v>
      </c>
      <c r="K41" s="176">
        <v>0</v>
      </c>
      <c r="L41" s="176">
        <v>3798023</v>
      </c>
      <c r="M41" s="176">
        <v>5433231</v>
      </c>
      <c r="N41" s="176">
        <v>0</v>
      </c>
      <c r="O41" s="176">
        <v>0</v>
      </c>
      <c r="P41" s="188"/>
    </row>
    <row r="42" spans="1:16" s="31" customFormat="1" ht="38.25" customHeight="1">
      <c r="A42" s="376">
        <v>30</v>
      </c>
      <c r="B42" s="200" t="s">
        <v>36</v>
      </c>
      <c r="C42" s="178" t="s">
        <v>442</v>
      </c>
      <c r="D42" s="158" t="s">
        <v>403</v>
      </c>
      <c r="E42" s="181" t="s">
        <v>416</v>
      </c>
      <c r="F42" s="183" t="s">
        <v>443</v>
      </c>
      <c r="G42" s="183">
        <v>45124</v>
      </c>
      <c r="H42" s="144">
        <v>6820089.8799999999</v>
      </c>
      <c r="I42" s="144">
        <v>2444355.37</v>
      </c>
      <c r="J42" s="175">
        <f t="shared" si="1"/>
        <v>4375734.51</v>
      </c>
      <c r="K42" s="176">
        <v>0</v>
      </c>
      <c r="L42" s="175">
        <v>1039493</v>
      </c>
      <c r="M42" s="175">
        <v>1000000</v>
      </c>
      <c r="N42" s="175">
        <v>1000000</v>
      </c>
      <c r="O42" s="175">
        <v>1000000</v>
      </c>
      <c r="P42" s="188"/>
    </row>
    <row r="43" spans="1:16" s="31" customFormat="1" ht="38.25" customHeight="1">
      <c r="A43" s="375">
        <v>31</v>
      </c>
      <c r="B43" s="200" t="s">
        <v>36</v>
      </c>
      <c r="C43" s="178" t="s">
        <v>444</v>
      </c>
      <c r="D43" s="158" t="s">
        <v>403</v>
      </c>
      <c r="E43" s="181" t="s">
        <v>416</v>
      </c>
      <c r="F43" s="183" t="s">
        <v>445</v>
      </c>
      <c r="G43" s="183">
        <v>44415</v>
      </c>
      <c r="H43" s="144">
        <v>1767996.5</v>
      </c>
      <c r="I43" s="144">
        <v>873557.8</v>
      </c>
      <c r="J43" s="175">
        <f t="shared" si="1"/>
        <v>894438.7</v>
      </c>
      <c r="K43" s="176">
        <v>0</v>
      </c>
      <c r="L43" s="176">
        <v>0</v>
      </c>
      <c r="M43" s="176">
        <v>298146</v>
      </c>
      <c r="N43" s="176">
        <v>298146</v>
      </c>
      <c r="O43" s="176">
        <v>298146</v>
      </c>
      <c r="P43" s="188"/>
    </row>
    <row r="44" spans="1:16" s="31" customFormat="1" ht="38.25" customHeight="1">
      <c r="A44" s="376">
        <v>32</v>
      </c>
      <c r="B44" s="200" t="s">
        <v>36</v>
      </c>
      <c r="C44" s="178" t="s">
        <v>446</v>
      </c>
      <c r="D44" s="158" t="s">
        <v>196</v>
      </c>
      <c r="E44" s="181" t="s">
        <v>416</v>
      </c>
      <c r="F44" s="189" t="s">
        <v>447</v>
      </c>
      <c r="G44" s="183">
        <v>44330</v>
      </c>
      <c r="H44" s="144">
        <v>12110025.84</v>
      </c>
      <c r="I44" s="144">
        <v>6363099.4199999999</v>
      </c>
      <c r="J44" s="175">
        <f t="shared" si="1"/>
        <v>5746926.4199999999</v>
      </c>
      <c r="K44" s="176">
        <v>0</v>
      </c>
      <c r="L44" s="176">
        <v>0</v>
      </c>
      <c r="M44" s="176">
        <v>5746926</v>
      </c>
      <c r="N44" s="176">
        <v>0</v>
      </c>
      <c r="O44" s="176">
        <v>0</v>
      </c>
      <c r="P44" s="188"/>
    </row>
    <row r="45" spans="1:16" s="31" customFormat="1" ht="38.25" customHeight="1">
      <c r="A45" s="376">
        <v>33</v>
      </c>
      <c r="B45" s="200" t="s">
        <v>36</v>
      </c>
      <c r="C45" s="178" t="s">
        <v>448</v>
      </c>
      <c r="D45" s="158" t="s">
        <v>403</v>
      </c>
      <c r="E45" s="181" t="s">
        <v>416</v>
      </c>
      <c r="F45" s="183">
        <v>43662</v>
      </c>
      <c r="G45" s="183">
        <v>44238</v>
      </c>
      <c r="H45" s="144">
        <v>2664793.58</v>
      </c>
      <c r="I45" s="144">
        <v>886617.8</v>
      </c>
      <c r="J45" s="175">
        <f t="shared" si="1"/>
        <v>1778175.78</v>
      </c>
      <c r="K45" s="176">
        <v>0</v>
      </c>
      <c r="L45" s="175">
        <v>1278132</v>
      </c>
      <c r="M45" s="144">
        <v>548632</v>
      </c>
      <c r="N45" s="176">
        <v>0</v>
      </c>
      <c r="O45" s="176">
        <v>0</v>
      </c>
      <c r="P45" s="188"/>
    </row>
    <row r="46" spans="1:16" s="31" customFormat="1" ht="38.25" customHeight="1">
      <c r="A46" s="375">
        <v>34</v>
      </c>
      <c r="B46" s="200" t="s">
        <v>36</v>
      </c>
      <c r="C46" s="178" t="s">
        <v>449</v>
      </c>
      <c r="D46" s="158" t="s">
        <v>403</v>
      </c>
      <c r="E46" s="181" t="s">
        <v>416</v>
      </c>
      <c r="F46" s="156">
        <v>43663</v>
      </c>
      <c r="G46" s="156">
        <v>44577</v>
      </c>
      <c r="H46" s="144">
        <v>3208182.01</v>
      </c>
      <c r="I46" s="144">
        <v>521883.85</v>
      </c>
      <c r="J46" s="175">
        <f t="shared" si="1"/>
        <v>2686298.1599999997</v>
      </c>
      <c r="K46" s="176">
        <v>0</v>
      </c>
      <c r="L46" s="176">
        <v>0</v>
      </c>
      <c r="M46" s="176">
        <v>800000</v>
      </c>
      <c r="N46" s="176">
        <v>600000</v>
      </c>
      <c r="O46" s="176">
        <v>800000</v>
      </c>
      <c r="P46" s="188"/>
    </row>
    <row r="47" spans="1:16" s="31" customFormat="1" ht="38.25" customHeight="1">
      <c r="A47" s="376">
        <v>35</v>
      </c>
      <c r="B47" s="200" t="s">
        <v>36</v>
      </c>
      <c r="C47" s="178" t="s">
        <v>450</v>
      </c>
      <c r="D47" s="158" t="s">
        <v>196</v>
      </c>
      <c r="E47" s="181" t="s">
        <v>416</v>
      </c>
      <c r="F47" s="189" t="s">
        <v>451</v>
      </c>
      <c r="G47" s="183" t="s">
        <v>452</v>
      </c>
      <c r="H47" s="144">
        <v>4764200.6100000003</v>
      </c>
      <c r="I47" s="144">
        <v>1915078.23</v>
      </c>
      <c r="J47" s="175">
        <f t="shared" si="1"/>
        <v>2849122.3800000004</v>
      </c>
      <c r="K47" s="176">
        <v>0</v>
      </c>
      <c r="L47" s="176">
        <v>0</v>
      </c>
      <c r="M47" s="176">
        <v>1424561</v>
      </c>
      <c r="N47" s="176">
        <v>1424561</v>
      </c>
      <c r="O47" s="176">
        <v>0</v>
      </c>
      <c r="P47" s="188"/>
    </row>
    <row r="48" spans="1:16" s="31" customFormat="1" ht="38.25" customHeight="1">
      <c r="A48" s="376">
        <v>36</v>
      </c>
      <c r="B48" s="200" t="s">
        <v>36</v>
      </c>
      <c r="C48" s="178" t="s">
        <v>453</v>
      </c>
      <c r="D48" s="158" t="s">
        <v>403</v>
      </c>
      <c r="E48" s="181" t="s">
        <v>416</v>
      </c>
      <c r="F48" s="189" t="s">
        <v>454</v>
      </c>
      <c r="G48" s="183" t="s">
        <v>455</v>
      </c>
      <c r="H48" s="144">
        <v>16266428.109999999</v>
      </c>
      <c r="I48" s="144">
        <v>5406792.5300000003</v>
      </c>
      <c r="J48" s="175">
        <f t="shared" si="1"/>
        <v>10859635.579999998</v>
      </c>
      <c r="K48" s="176">
        <v>0</v>
      </c>
      <c r="L48" s="176">
        <v>1433249</v>
      </c>
      <c r="M48" s="176">
        <v>3142129</v>
      </c>
      <c r="N48" s="176">
        <v>3142129</v>
      </c>
      <c r="O48" s="176">
        <v>3142128</v>
      </c>
      <c r="P48" s="188"/>
    </row>
    <row r="49" spans="1:16" s="31" customFormat="1" ht="38.25" customHeight="1">
      <c r="A49" s="375">
        <v>37</v>
      </c>
      <c r="B49" s="200" t="s">
        <v>36</v>
      </c>
      <c r="C49" s="178" t="s">
        <v>456</v>
      </c>
      <c r="D49" s="158" t="s">
        <v>403</v>
      </c>
      <c r="E49" s="181" t="s">
        <v>416</v>
      </c>
      <c r="F49" s="189" t="s">
        <v>457</v>
      </c>
      <c r="G49" s="183">
        <v>44557</v>
      </c>
      <c r="H49" s="144">
        <v>2711925</v>
      </c>
      <c r="I49" s="144">
        <v>256365.86</v>
      </c>
      <c r="J49" s="175">
        <f t="shared" si="1"/>
        <v>2455559.14</v>
      </c>
      <c r="K49" s="176">
        <v>0</v>
      </c>
      <c r="L49" s="176">
        <v>0</v>
      </c>
      <c r="M49" s="176">
        <v>818519</v>
      </c>
      <c r="N49" s="176">
        <v>818519</v>
      </c>
      <c r="O49" s="176">
        <v>818520</v>
      </c>
      <c r="P49" s="188"/>
    </row>
    <row r="50" spans="1:16" s="31" customFormat="1" ht="38.25" customHeight="1">
      <c r="A50" s="376">
        <v>38</v>
      </c>
      <c r="B50" s="200" t="s">
        <v>36</v>
      </c>
      <c r="C50" s="178" t="s">
        <v>458</v>
      </c>
      <c r="D50" s="158" t="s">
        <v>357</v>
      </c>
      <c r="E50" s="181" t="s">
        <v>416</v>
      </c>
      <c r="F50" s="189" t="s">
        <v>459</v>
      </c>
      <c r="G50" s="183" t="s">
        <v>460</v>
      </c>
      <c r="H50" s="144">
        <v>1020316.35</v>
      </c>
      <c r="I50" s="144">
        <v>80408.05</v>
      </c>
      <c r="J50" s="175">
        <f t="shared" si="1"/>
        <v>939908.29999999993</v>
      </c>
      <c r="K50" s="176">
        <v>0</v>
      </c>
      <c r="L50" s="176">
        <v>469954</v>
      </c>
      <c r="M50" s="176">
        <v>469954</v>
      </c>
      <c r="N50" s="176">
        <v>0</v>
      </c>
      <c r="O50" s="176">
        <v>0</v>
      </c>
      <c r="P50" s="188"/>
    </row>
    <row r="51" spans="1:16" s="31" customFormat="1" ht="38.25" customHeight="1">
      <c r="A51" s="376">
        <v>39</v>
      </c>
      <c r="B51" s="200" t="s">
        <v>36</v>
      </c>
      <c r="C51" s="178" t="s">
        <v>461</v>
      </c>
      <c r="D51" s="158" t="s">
        <v>200</v>
      </c>
      <c r="E51" s="181" t="s">
        <v>416</v>
      </c>
      <c r="F51" s="189" t="s">
        <v>462</v>
      </c>
      <c r="G51" s="183">
        <v>44424</v>
      </c>
      <c r="H51" s="144">
        <v>1214812.96</v>
      </c>
      <c r="I51" s="144">
        <v>1043640.31</v>
      </c>
      <c r="J51" s="175">
        <f t="shared" si="1"/>
        <v>171172.64999999991</v>
      </c>
      <c r="K51" s="176">
        <v>0</v>
      </c>
      <c r="L51" s="176">
        <v>319860</v>
      </c>
      <c r="M51" s="176">
        <v>364143</v>
      </c>
      <c r="N51" s="176">
        <v>364143</v>
      </c>
      <c r="O51" s="176">
        <v>0</v>
      </c>
      <c r="P51" s="188"/>
    </row>
    <row r="52" spans="1:16" s="31" customFormat="1" ht="38.25" customHeight="1">
      <c r="A52" s="375">
        <v>40</v>
      </c>
      <c r="B52" s="200" t="s">
        <v>36</v>
      </c>
      <c r="C52" s="178" t="s">
        <v>463</v>
      </c>
      <c r="D52" s="158" t="s">
        <v>403</v>
      </c>
      <c r="E52" s="181" t="s">
        <v>416</v>
      </c>
      <c r="F52" s="183">
        <v>43840</v>
      </c>
      <c r="G52" s="183">
        <v>44393</v>
      </c>
      <c r="H52" s="144">
        <v>2028367.22</v>
      </c>
      <c r="I52" s="144">
        <v>144789.59</v>
      </c>
      <c r="J52" s="175">
        <f t="shared" si="1"/>
        <v>1883577.63</v>
      </c>
      <c r="K52" s="176">
        <v>0</v>
      </c>
      <c r="L52" s="176">
        <v>314676</v>
      </c>
      <c r="M52" s="144">
        <v>527330</v>
      </c>
      <c r="N52" s="144">
        <v>527331</v>
      </c>
      <c r="O52" s="144">
        <v>527331</v>
      </c>
      <c r="P52" s="188"/>
    </row>
    <row r="53" spans="1:16" s="31" customFormat="1" ht="38.25" customHeight="1">
      <c r="A53" s="376">
        <v>41</v>
      </c>
      <c r="B53" s="200" t="s">
        <v>36</v>
      </c>
      <c r="C53" s="178" t="s">
        <v>464</v>
      </c>
      <c r="D53" s="158" t="s">
        <v>403</v>
      </c>
      <c r="E53" s="181" t="s">
        <v>416</v>
      </c>
      <c r="F53" s="183">
        <v>43903</v>
      </c>
      <c r="G53" s="183">
        <v>44556</v>
      </c>
      <c r="H53" s="144">
        <v>3416376.08</v>
      </c>
      <c r="I53" s="144">
        <v>1066215.3999999999</v>
      </c>
      <c r="J53" s="175">
        <f t="shared" si="1"/>
        <v>2350160.6800000002</v>
      </c>
      <c r="K53" s="176">
        <v>0</v>
      </c>
      <c r="L53" s="176">
        <v>0</v>
      </c>
      <c r="M53" s="176">
        <v>783386</v>
      </c>
      <c r="N53" s="176">
        <v>783386</v>
      </c>
      <c r="O53" s="176">
        <v>783387</v>
      </c>
      <c r="P53" s="188"/>
    </row>
    <row r="54" spans="1:16" s="31" customFormat="1" ht="38.25" customHeight="1">
      <c r="A54" s="376">
        <v>42</v>
      </c>
      <c r="B54" s="200" t="s">
        <v>36</v>
      </c>
      <c r="C54" s="178" t="s">
        <v>465</v>
      </c>
      <c r="D54" s="158" t="s">
        <v>357</v>
      </c>
      <c r="E54" s="181" t="s">
        <v>416</v>
      </c>
      <c r="F54" s="183">
        <v>43941</v>
      </c>
      <c r="G54" s="183">
        <v>44742</v>
      </c>
      <c r="H54" s="144">
        <v>14446815.51</v>
      </c>
      <c r="I54" s="144">
        <v>2154193.63</v>
      </c>
      <c r="J54" s="175">
        <f t="shared" si="1"/>
        <v>12292621.879999999</v>
      </c>
      <c r="K54" s="176">
        <v>0</v>
      </c>
      <c r="L54" s="176">
        <v>0</v>
      </c>
      <c r="M54" s="176">
        <v>2458524</v>
      </c>
      <c r="N54" s="176">
        <v>2458524</v>
      </c>
      <c r="O54" s="176">
        <v>2458524</v>
      </c>
      <c r="P54" s="179"/>
    </row>
    <row r="55" spans="1:16" s="31" customFormat="1" ht="38.25" customHeight="1">
      <c r="A55" s="375">
        <v>43</v>
      </c>
      <c r="B55" s="200" t="s">
        <v>36</v>
      </c>
      <c r="C55" s="178" t="s">
        <v>466</v>
      </c>
      <c r="D55" s="158" t="s">
        <v>403</v>
      </c>
      <c r="E55" s="181" t="s">
        <v>416</v>
      </c>
      <c r="F55" s="183">
        <v>43997</v>
      </c>
      <c r="G55" s="183">
        <v>44266</v>
      </c>
      <c r="H55" s="144">
        <v>2808400</v>
      </c>
      <c r="I55" s="144">
        <v>0</v>
      </c>
      <c r="J55" s="175">
        <f t="shared" si="1"/>
        <v>2808400</v>
      </c>
      <c r="K55" s="176">
        <v>0</v>
      </c>
      <c r="L55" s="144">
        <v>0</v>
      </c>
      <c r="M55" s="144">
        <v>2808400</v>
      </c>
      <c r="N55" s="176">
        <v>0</v>
      </c>
      <c r="O55" s="176">
        <v>0</v>
      </c>
      <c r="P55" s="188"/>
    </row>
    <row r="56" spans="1:16" s="31" customFormat="1" ht="38.25" customHeight="1">
      <c r="A56" s="376">
        <v>44</v>
      </c>
      <c r="B56" s="200" t="s">
        <v>36</v>
      </c>
      <c r="C56" s="178" t="s">
        <v>467</v>
      </c>
      <c r="D56" s="158" t="s">
        <v>403</v>
      </c>
      <c r="E56" s="181" t="s">
        <v>416</v>
      </c>
      <c r="F56" s="183">
        <v>44018</v>
      </c>
      <c r="G56" s="183">
        <v>44384</v>
      </c>
      <c r="H56" s="144">
        <v>2424405</v>
      </c>
      <c r="I56" s="144">
        <v>0</v>
      </c>
      <c r="J56" s="175">
        <f t="shared" si="1"/>
        <v>2424405</v>
      </c>
      <c r="K56" s="176">
        <v>0</v>
      </c>
      <c r="L56" s="176">
        <v>0</v>
      </c>
      <c r="M56" s="176">
        <v>1212202</v>
      </c>
      <c r="N56" s="176">
        <v>1212203</v>
      </c>
      <c r="O56" s="176"/>
      <c r="P56" s="188"/>
    </row>
    <row r="57" spans="1:16" s="31" customFormat="1" ht="38.25" customHeight="1">
      <c r="A57" s="376">
        <v>45</v>
      </c>
      <c r="B57" s="200" t="s">
        <v>36</v>
      </c>
      <c r="C57" s="178" t="s">
        <v>468</v>
      </c>
      <c r="D57" s="158" t="s">
        <v>403</v>
      </c>
      <c r="E57" s="181" t="s">
        <v>416</v>
      </c>
      <c r="F57" s="183">
        <v>44091</v>
      </c>
      <c r="G57" s="183">
        <v>44490</v>
      </c>
      <c r="H57" s="144">
        <v>3091341</v>
      </c>
      <c r="I57" s="175">
        <v>81055.67</v>
      </c>
      <c r="J57" s="175">
        <f t="shared" si="1"/>
        <v>3010285.33</v>
      </c>
      <c r="K57" s="176">
        <v>0</v>
      </c>
      <c r="L57" s="176">
        <v>0</v>
      </c>
      <c r="M57" s="176">
        <v>1004728</v>
      </c>
      <c r="N57" s="176">
        <v>1004728</v>
      </c>
      <c r="O57" s="176">
        <v>1004729</v>
      </c>
      <c r="P57" s="188"/>
    </row>
    <row r="58" spans="1:16" s="31" customFormat="1" ht="38.25" customHeight="1">
      <c r="A58" s="375">
        <v>46</v>
      </c>
      <c r="B58" s="200" t="s">
        <v>36</v>
      </c>
      <c r="C58" s="178" t="s">
        <v>469</v>
      </c>
      <c r="D58" s="158" t="s">
        <v>199</v>
      </c>
      <c r="E58" s="181" t="s">
        <v>416</v>
      </c>
      <c r="F58" s="183">
        <v>44113</v>
      </c>
      <c r="G58" s="183">
        <v>44296</v>
      </c>
      <c r="H58" s="144">
        <v>569350</v>
      </c>
      <c r="I58" s="144">
        <v>0</v>
      </c>
      <c r="J58" s="175">
        <f t="shared" si="1"/>
        <v>569350</v>
      </c>
      <c r="K58" s="176">
        <v>0</v>
      </c>
      <c r="L58" s="176">
        <v>0</v>
      </c>
      <c r="M58" s="176">
        <v>569350</v>
      </c>
      <c r="N58" s="176">
        <v>0</v>
      </c>
      <c r="O58" s="176">
        <v>0</v>
      </c>
      <c r="P58" s="179"/>
    </row>
    <row r="59" spans="1:16" s="31" customFormat="1" ht="38.25" customHeight="1" thickBot="1">
      <c r="A59" s="376">
        <v>47</v>
      </c>
      <c r="B59" s="200" t="s">
        <v>36</v>
      </c>
      <c r="C59" s="178" t="s">
        <v>470</v>
      </c>
      <c r="D59" s="158" t="s">
        <v>403</v>
      </c>
      <c r="E59" s="181" t="s">
        <v>416</v>
      </c>
      <c r="F59" s="183">
        <v>44119</v>
      </c>
      <c r="G59" s="183">
        <v>44419</v>
      </c>
      <c r="H59" s="144">
        <v>1121000</v>
      </c>
      <c r="I59" s="144">
        <v>0</v>
      </c>
      <c r="J59" s="175">
        <f t="shared" si="1"/>
        <v>1121000</v>
      </c>
      <c r="K59" s="176">
        <v>0</v>
      </c>
      <c r="L59" s="176">
        <v>586130</v>
      </c>
      <c r="M59" s="176">
        <v>290037</v>
      </c>
      <c r="N59" s="176">
        <v>290037</v>
      </c>
      <c r="O59" s="176">
        <v>0</v>
      </c>
      <c r="P59" s="179"/>
    </row>
    <row r="60" spans="1:16" s="110" customFormat="1" ht="30" customHeight="1" thickBot="1">
      <c r="A60" s="668" t="s">
        <v>20</v>
      </c>
      <c r="B60" s="669"/>
      <c r="C60" s="669"/>
      <c r="D60" s="669"/>
      <c r="E60" s="669"/>
      <c r="F60" s="669"/>
      <c r="G60" s="670"/>
      <c r="H60" s="146">
        <f t="shared" ref="H60:O60" si="2">SUM(H13:H59)</f>
        <v>396902064.13999999</v>
      </c>
      <c r="I60" s="146">
        <f t="shared" si="2"/>
        <v>246515797.53999999</v>
      </c>
      <c r="J60" s="146">
        <f t="shared" si="2"/>
        <v>150386266.59999999</v>
      </c>
      <c r="K60" s="146">
        <f t="shared" si="2"/>
        <v>0</v>
      </c>
      <c r="L60" s="146">
        <f t="shared" si="2"/>
        <v>18990825</v>
      </c>
      <c r="M60" s="146">
        <f t="shared" si="2"/>
        <v>60992759</v>
      </c>
      <c r="N60" s="146">
        <f t="shared" si="2"/>
        <v>38111370</v>
      </c>
      <c r="O60" s="146">
        <f t="shared" si="2"/>
        <v>28831904</v>
      </c>
      <c r="P60" s="117"/>
    </row>
    <row r="61" spans="1:16" ht="15" customHeight="1" thickBot="1">
      <c r="A61" s="671"/>
      <c r="B61" s="672"/>
      <c r="C61" s="672"/>
      <c r="D61" s="672"/>
      <c r="E61" s="672"/>
      <c r="F61" s="672"/>
      <c r="G61" s="672"/>
      <c r="H61" s="672"/>
      <c r="I61" s="672"/>
      <c r="J61" s="672"/>
      <c r="K61" s="672"/>
      <c r="L61" s="672"/>
      <c r="M61" s="672"/>
      <c r="N61" s="672"/>
      <c r="O61" s="672"/>
      <c r="P61" s="673"/>
    </row>
    <row r="62" spans="1:16" ht="30" customHeight="1" thickBot="1">
      <c r="A62" s="652" t="s">
        <v>26</v>
      </c>
      <c r="B62" s="653"/>
      <c r="C62" s="653"/>
      <c r="D62" s="653"/>
      <c r="E62" s="653"/>
      <c r="F62" s="653"/>
      <c r="G62" s="653"/>
      <c r="H62" s="653"/>
      <c r="I62" s="653"/>
      <c r="J62" s="653"/>
      <c r="K62" s="653"/>
      <c r="L62" s="653"/>
      <c r="M62" s="653"/>
      <c r="N62" s="653"/>
      <c r="O62" s="653"/>
      <c r="P62" s="654"/>
    </row>
    <row r="63" spans="1:16" s="31" customFormat="1" ht="36" customHeight="1">
      <c r="A63" s="371">
        <v>1</v>
      </c>
      <c r="B63" s="200" t="s">
        <v>36</v>
      </c>
      <c r="C63" s="325" t="s">
        <v>1781</v>
      </c>
      <c r="D63" s="233" t="s">
        <v>1453</v>
      </c>
      <c r="E63" s="170"/>
      <c r="F63" s="233">
        <v>2017</v>
      </c>
      <c r="G63" s="238">
        <v>2020</v>
      </c>
      <c r="H63" s="239">
        <v>95000</v>
      </c>
      <c r="I63" s="237">
        <v>33623</v>
      </c>
      <c r="J63" s="239">
        <f>H63-I63</f>
        <v>61377</v>
      </c>
      <c r="K63" s="345"/>
      <c r="L63" s="345">
        <f t="shared" ref="L63:L82" si="3">J63/4</f>
        <v>15344.25</v>
      </c>
      <c r="M63" s="345">
        <v>15344.25</v>
      </c>
      <c r="N63" s="345">
        <v>15344.25</v>
      </c>
      <c r="O63" s="345">
        <v>15344.25</v>
      </c>
      <c r="P63" s="377"/>
    </row>
    <row r="64" spans="1:16" s="31" customFormat="1" ht="36" customHeight="1">
      <c r="A64" s="372">
        <v>2</v>
      </c>
      <c r="B64" s="200" t="s">
        <v>36</v>
      </c>
      <c r="C64" s="325" t="s">
        <v>1782</v>
      </c>
      <c r="D64" s="233" t="s">
        <v>1453</v>
      </c>
      <c r="E64" s="171"/>
      <c r="F64" s="233">
        <v>2017</v>
      </c>
      <c r="G64" s="238">
        <v>2020</v>
      </c>
      <c r="H64" s="239">
        <v>147500</v>
      </c>
      <c r="I64" s="237">
        <v>59000</v>
      </c>
      <c r="J64" s="239">
        <f>H64-I64</f>
        <v>88500</v>
      </c>
      <c r="K64" s="176"/>
      <c r="L64" s="345">
        <f t="shared" si="3"/>
        <v>22125</v>
      </c>
      <c r="M64" s="176">
        <v>22125</v>
      </c>
      <c r="N64" s="176">
        <v>22125</v>
      </c>
      <c r="O64" s="176">
        <v>22125</v>
      </c>
      <c r="P64" s="378"/>
    </row>
    <row r="65" spans="1:16" s="31" customFormat="1" ht="36" customHeight="1">
      <c r="A65" s="372">
        <v>3</v>
      </c>
      <c r="B65" s="200" t="s">
        <v>36</v>
      </c>
      <c r="C65" s="325" t="s">
        <v>1783</v>
      </c>
      <c r="D65" s="233" t="s">
        <v>1453</v>
      </c>
      <c r="E65" s="171"/>
      <c r="F65" s="233">
        <v>2017</v>
      </c>
      <c r="G65" s="238">
        <v>2020</v>
      </c>
      <c r="H65" s="239">
        <v>47200</v>
      </c>
      <c r="I65" s="237">
        <v>35510.19</v>
      </c>
      <c r="J65" s="239">
        <f>H65-I65</f>
        <v>11689.809999999998</v>
      </c>
      <c r="K65" s="176"/>
      <c r="L65" s="345">
        <f t="shared" si="3"/>
        <v>2922.4524999999994</v>
      </c>
      <c r="M65" s="176">
        <v>2922.4524999999994</v>
      </c>
      <c r="N65" s="176">
        <v>2922.4524999999994</v>
      </c>
      <c r="O65" s="176">
        <v>2922.4524999999994</v>
      </c>
      <c r="P65" s="378"/>
    </row>
    <row r="66" spans="1:16" s="31" customFormat="1" ht="36" customHeight="1">
      <c r="A66" s="371">
        <v>4</v>
      </c>
      <c r="B66" s="200" t="s">
        <v>36</v>
      </c>
      <c r="C66" s="325" t="s">
        <v>1784</v>
      </c>
      <c r="D66" s="233" t="s">
        <v>1453</v>
      </c>
      <c r="E66" s="171"/>
      <c r="F66" s="233">
        <v>2018</v>
      </c>
      <c r="G66" s="238">
        <v>2020</v>
      </c>
      <c r="H66" s="239">
        <v>130000</v>
      </c>
      <c r="I66" s="237">
        <v>90916</v>
      </c>
      <c r="J66" s="239">
        <f>H66-I66</f>
        <v>39084</v>
      </c>
      <c r="K66" s="176"/>
      <c r="L66" s="345">
        <f t="shared" si="3"/>
        <v>9771</v>
      </c>
      <c r="M66" s="176">
        <v>9771</v>
      </c>
      <c r="N66" s="176">
        <v>9771</v>
      </c>
      <c r="O66" s="176">
        <v>9771</v>
      </c>
      <c r="P66" s="378"/>
    </row>
    <row r="67" spans="1:16" s="31" customFormat="1" ht="36" customHeight="1">
      <c r="A67" s="372">
        <v>5</v>
      </c>
      <c r="B67" s="200" t="s">
        <v>36</v>
      </c>
      <c r="C67" s="325" t="s">
        <v>1785</v>
      </c>
      <c r="D67" s="233" t="s">
        <v>1132</v>
      </c>
      <c r="E67" s="171"/>
      <c r="F67" s="233">
        <v>2018</v>
      </c>
      <c r="G67" s="238">
        <v>2020</v>
      </c>
      <c r="H67" s="239">
        <v>37000</v>
      </c>
      <c r="I67" s="237">
        <v>19606</v>
      </c>
      <c r="J67" s="239">
        <f>H67-I67</f>
        <v>17394</v>
      </c>
      <c r="K67" s="176"/>
      <c r="L67" s="345">
        <f t="shared" si="3"/>
        <v>4348.5</v>
      </c>
      <c r="M67" s="176">
        <v>4348.5</v>
      </c>
      <c r="N67" s="176">
        <v>4348.5</v>
      </c>
      <c r="O67" s="176">
        <v>4348.5</v>
      </c>
      <c r="P67" s="378"/>
    </row>
    <row r="68" spans="1:16" s="31" customFormat="1" ht="36" customHeight="1">
      <c r="A68" s="372">
        <v>6</v>
      </c>
      <c r="B68" s="200" t="s">
        <v>36</v>
      </c>
      <c r="C68" s="325" t="s">
        <v>1786</v>
      </c>
      <c r="D68" s="233" t="s">
        <v>1434</v>
      </c>
      <c r="E68" s="171"/>
      <c r="F68" s="233">
        <v>2018</v>
      </c>
      <c r="G68" s="238">
        <v>2020</v>
      </c>
      <c r="H68" s="239">
        <v>170000</v>
      </c>
      <c r="I68" s="237">
        <v>0</v>
      </c>
      <c r="J68" s="239">
        <v>170000</v>
      </c>
      <c r="K68" s="176"/>
      <c r="L68" s="345">
        <f t="shared" si="3"/>
        <v>42500</v>
      </c>
      <c r="M68" s="176">
        <v>42500</v>
      </c>
      <c r="N68" s="176">
        <v>42500</v>
      </c>
      <c r="O68" s="176">
        <v>42500</v>
      </c>
      <c r="P68" s="378"/>
    </row>
    <row r="69" spans="1:16" s="31" customFormat="1" ht="36" customHeight="1">
      <c r="A69" s="371">
        <v>7</v>
      </c>
      <c r="B69" s="200" t="s">
        <v>36</v>
      </c>
      <c r="C69" s="343" t="s">
        <v>1787</v>
      </c>
      <c r="D69" s="541" t="s">
        <v>1122</v>
      </c>
      <c r="E69" s="171"/>
      <c r="F69" s="541">
        <v>2016</v>
      </c>
      <c r="G69" s="344">
        <v>2020</v>
      </c>
      <c r="H69" s="542">
        <v>6244045.0999999996</v>
      </c>
      <c r="I69" s="542">
        <v>4285220.96</v>
      </c>
      <c r="J69" s="515">
        <f t="shared" ref="J69:J82" si="4">H69-I69</f>
        <v>1958824.1399999997</v>
      </c>
      <c r="K69" s="176"/>
      <c r="L69" s="345">
        <f t="shared" si="3"/>
        <v>489706.03499999992</v>
      </c>
      <c r="M69" s="176">
        <v>489706.03499999992</v>
      </c>
      <c r="N69" s="176">
        <v>489706.03499999992</v>
      </c>
      <c r="O69" s="176">
        <v>489706.03499999992</v>
      </c>
      <c r="P69" s="378"/>
    </row>
    <row r="70" spans="1:16" s="31" customFormat="1" ht="30.75" customHeight="1">
      <c r="A70" s="372">
        <v>8</v>
      </c>
      <c r="B70" s="200" t="s">
        <v>36</v>
      </c>
      <c r="C70" s="325" t="s">
        <v>1788</v>
      </c>
      <c r="D70" s="233" t="s">
        <v>1132</v>
      </c>
      <c r="E70" s="171"/>
      <c r="F70" s="233">
        <v>2016</v>
      </c>
      <c r="G70" s="344">
        <v>2020</v>
      </c>
      <c r="H70" s="239">
        <v>3353303.2</v>
      </c>
      <c r="I70" s="239">
        <v>2262879.4500000002</v>
      </c>
      <c r="J70" s="239">
        <f t="shared" si="4"/>
        <v>1090423.75</v>
      </c>
      <c r="K70" s="176"/>
      <c r="L70" s="345">
        <f t="shared" si="3"/>
        <v>272605.9375</v>
      </c>
      <c r="M70" s="176">
        <v>272605.9375</v>
      </c>
      <c r="N70" s="176">
        <v>272605.9375</v>
      </c>
      <c r="O70" s="176">
        <v>272605.9375</v>
      </c>
      <c r="P70" s="378"/>
    </row>
    <row r="71" spans="1:16" s="31" customFormat="1" ht="30.75" customHeight="1">
      <c r="A71" s="372">
        <v>9</v>
      </c>
      <c r="B71" s="200" t="s">
        <v>36</v>
      </c>
      <c r="C71" s="325" t="s">
        <v>1789</v>
      </c>
      <c r="D71" s="233" t="s">
        <v>1132</v>
      </c>
      <c r="E71" s="171"/>
      <c r="F71" s="233">
        <v>2017</v>
      </c>
      <c r="G71" s="344">
        <v>2020</v>
      </c>
      <c r="H71" s="515">
        <v>6433639.0199999996</v>
      </c>
      <c r="I71" s="516">
        <v>5711708.3700000001</v>
      </c>
      <c r="J71" s="239">
        <f t="shared" si="4"/>
        <v>721930.64999999944</v>
      </c>
      <c r="K71" s="176"/>
      <c r="L71" s="345">
        <f t="shared" si="3"/>
        <v>180482.66249999986</v>
      </c>
      <c r="M71" s="176">
        <v>180482.66249999986</v>
      </c>
      <c r="N71" s="176">
        <v>180482.66249999986</v>
      </c>
      <c r="O71" s="176">
        <v>180482.66249999986</v>
      </c>
      <c r="P71" s="378"/>
    </row>
    <row r="72" spans="1:16" s="31" customFormat="1" ht="30.75" customHeight="1">
      <c r="A72" s="371">
        <v>10</v>
      </c>
      <c r="B72" s="200" t="s">
        <v>36</v>
      </c>
      <c r="C72" s="325" t="s">
        <v>1790</v>
      </c>
      <c r="D72" s="233" t="s">
        <v>1453</v>
      </c>
      <c r="E72" s="171"/>
      <c r="F72" s="233">
        <v>2017</v>
      </c>
      <c r="G72" s="344">
        <v>2020</v>
      </c>
      <c r="H72" s="239">
        <v>4544065.5199999996</v>
      </c>
      <c r="I72" s="237">
        <v>2080416.88</v>
      </c>
      <c r="J72" s="239">
        <f t="shared" si="4"/>
        <v>2463648.6399999997</v>
      </c>
      <c r="K72" s="176"/>
      <c r="L72" s="345">
        <f t="shared" si="3"/>
        <v>615912.15999999992</v>
      </c>
      <c r="M72" s="176">
        <v>615912.15999999992</v>
      </c>
      <c r="N72" s="176">
        <v>615912.15999999992</v>
      </c>
      <c r="O72" s="176">
        <v>615912.15999999992</v>
      </c>
      <c r="P72" s="378"/>
    </row>
    <row r="73" spans="1:16" s="31" customFormat="1" ht="30.75" customHeight="1">
      <c r="A73" s="372">
        <v>11</v>
      </c>
      <c r="B73" s="200" t="s">
        <v>36</v>
      </c>
      <c r="C73" s="325" t="s">
        <v>1791</v>
      </c>
      <c r="D73" s="233" t="s">
        <v>1132</v>
      </c>
      <c r="E73" s="171"/>
      <c r="F73" s="233">
        <v>2017</v>
      </c>
      <c r="G73" s="344">
        <v>2020</v>
      </c>
      <c r="H73" s="239">
        <v>5359969.1900000004</v>
      </c>
      <c r="I73" s="237">
        <v>3603931.84</v>
      </c>
      <c r="J73" s="239">
        <f t="shared" si="4"/>
        <v>1756037.3500000006</v>
      </c>
      <c r="K73" s="176"/>
      <c r="L73" s="345">
        <f t="shared" si="3"/>
        <v>439009.33750000014</v>
      </c>
      <c r="M73" s="176">
        <v>439009.33750000014</v>
      </c>
      <c r="N73" s="176">
        <v>439009.33750000014</v>
      </c>
      <c r="O73" s="176">
        <v>439009.33750000014</v>
      </c>
      <c r="P73" s="378"/>
    </row>
    <row r="74" spans="1:16" s="31" customFormat="1" ht="30.75" customHeight="1">
      <c r="A74" s="372">
        <v>12</v>
      </c>
      <c r="B74" s="200" t="s">
        <v>36</v>
      </c>
      <c r="C74" s="325" t="s">
        <v>1792</v>
      </c>
      <c r="D74" s="233" t="s">
        <v>1132</v>
      </c>
      <c r="E74" s="171"/>
      <c r="F74" s="233">
        <v>2018</v>
      </c>
      <c r="G74" s="344">
        <v>2020</v>
      </c>
      <c r="H74" s="239">
        <v>3459860.82</v>
      </c>
      <c r="I74" s="237">
        <v>2533667.98</v>
      </c>
      <c r="J74" s="239">
        <f t="shared" si="4"/>
        <v>926192.83999999985</v>
      </c>
      <c r="K74" s="176"/>
      <c r="L74" s="345">
        <f t="shared" si="3"/>
        <v>231548.20999999996</v>
      </c>
      <c r="M74" s="176">
        <v>231548.20999999996</v>
      </c>
      <c r="N74" s="176">
        <v>231548.20999999996</v>
      </c>
      <c r="O74" s="176">
        <v>231548.20999999996</v>
      </c>
      <c r="P74" s="378"/>
    </row>
    <row r="75" spans="1:16" s="31" customFormat="1" ht="30.75" customHeight="1">
      <c r="A75" s="371">
        <v>13</v>
      </c>
      <c r="B75" s="200" t="s">
        <v>36</v>
      </c>
      <c r="C75" s="325" t="s">
        <v>1793</v>
      </c>
      <c r="D75" s="233" t="s">
        <v>1132</v>
      </c>
      <c r="E75" s="171"/>
      <c r="F75" s="233">
        <v>2018</v>
      </c>
      <c r="G75" s="344">
        <v>2020</v>
      </c>
      <c r="H75" s="239">
        <v>4747348.5199999996</v>
      </c>
      <c r="I75" s="237">
        <v>2555445.0099999998</v>
      </c>
      <c r="J75" s="239">
        <f t="shared" si="4"/>
        <v>2191903.5099999998</v>
      </c>
      <c r="K75" s="176"/>
      <c r="L75" s="345">
        <f t="shared" si="3"/>
        <v>547975.87749999994</v>
      </c>
      <c r="M75" s="176">
        <v>547975.87749999994</v>
      </c>
      <c r="N75" s="176">
        <v>547975.87749999994</v>
      </c>
      <c r="O75" s="176">
        <v>547975.87749999994</v>
      </c>
      <c r="P75" s="378"/>
    </row>
    <row r="76" spans="1:16" s="31" customFormat="1" ht="30.75" customHeight="1">
      <c r="A76" s="372">
        <v>14</v>
      </c>
      <c r="B76" s="200" t="s">
        <v>36</v>
      </c>
      <c r="C76" s="325" t="s">
        <v>1794</v>
      </c>
      <c r="D76" s="233" t="s">
        <v>1132</v>
      </c>
      <c r="E76" s="171"/>
      <c r="F76" s="233">
        <v>2018</v>
      </c>
      <c r="G76" s="344">
        <v>2020</v>
      </c>
      <c r="H76" s="239">
        <v>4475419.6100000003</v>
      </c>
      <c r="I76" s="237">
        <v>3086966.07</v>
      </c>
      <c r="J76" s="239">
        <f t="shared" si="4"/>
        <v>1388453.5400000005</v>
      </c>
      <c r="K76" s="176"/>
      <c r="L76" s="345">
        <f t="shared" si="3"/>
        <v>347113.38500000013</v>
      </c>
      <c r="M76" s="176">
        <v>347113.38500000013</v>
      </c>
      <c r="N76" s="176">
        <v>347113.38500000013</v>
      </c>
      <c r="O76" s="176">
        <v>347113.38500000013</v>
      </c>
      <c r="P76" s="378"/>
    </row>
    <row r="77" spans="1:16" s="31" customFormat="1" ht="30.75" customHeight="1">
      <c r="A77" s="372">
        <v>15</v>
      </c>
      <c r="B77" s="200" t="s">
        <v>36</v>
      </c>
      <c r="C77" s="325" t="s">
        <v>1795</v>
      </c>
      <c r="D77" s="233" t="s">
        <v>197</v>
      </c>
      <c r="E77" s="171"/>
      <c r="F77" s="233">
        <v>2019</v>
      </c>
      <c r="G77" s="344">
        <v>2020</v>
      </c>
      <c r="H77" s="239">
        <v>2601105.7200000002</v>
      </c>
      <c r="I77" s="237">
        <v>1127032.21</v>
      </c>
      <c r="J77" s="239">
        <f t="shared" si="4"/>
        <v>1474073.5100000002</v>
      </c>
      <c r="K77" s="176"/>
      <c r="L77" s="345">
        <f t="shared" si="3"/>
        <v>368518.37750000006</v>
      </c>
      <c r="M77" s="176">
        <v>368518.37750000006</v>
      </c>
      <c r="N77" s="176">
        <v>368518.37750000006</v>
      </c>
      <c r="O77" s="176">
        <v>368518.37750000006</v>
      </c>
      <c r="P77" s="378"/>
    </row>
    <row r="78" spans="1:16" s="31" customFormat="1" ht="30.75" customHeight="1">
      <c r="A78" s="371">
        <v>16</v>
      </c>
      <c r="B78" s="200" t="s">
        <v>36</v>
      </c>
      <c r="C78" s="325" t="s">
        <v>1796</v>
      </c>
      <c r="D78" s="233" t="s">
        <v>1132</v>
      </c>
      <c r="E78" s="171"/>
      <c r="F78" s="233">
        <v>2019</v>
      </c>
      <c r="G78" s="238">
        <v>2021</v>
      </c>
      <c r="H78" s="239">
        <v>10418354.99</v>
      </c>
      <c r="I78" s="237">
        <v>7181388.5899999999</v>
      </c>
      <c r="J78" s="239">
        <f t="shared" si="4"/>
        <v>3236966.4000000004</v>
      </c>
      <c r="K78" s="176"/>
      <c r="L78" s="345">
        <f t="shared" si="3"/>
        <v>809241.60000000009</v>
      </c>
      <c r="M78" s="176">
        <v>809241.60000000009</v>
      </c>
      <c r="N78" s="176">
        <v>809241.60000000009</v>
      </c>
      <c r="O78" s="176">
        <v>809241.60000000009</v>
      </c>
      <c r="P78" s="378"/>
    </row>
    <row r="79" spans="1:16" s="31" customFormat="1" ht="30.75" customHeight="1">
      <c r="A79" s="372">
        <v>17</v>
      </c>
      <c r="B79" s="200" t="s">
        <v>36</v>
      </c>
      <c r="C79" s="325" t="s">
        <v>1797</v>
      </c>
      <c r="D79" s="233" t="s">
        <v>1132</v>
      </c>
      <c r="E79" s="171"/>
      <c r="F79" s="233">
        <v>2019</v>
      </c>
      <c r="G79" s="238">
        <v>2021</v>
      </c>
      <c r="H79" s="239">
        <v>1968233.63</v>
      </c>
      <c r="I79" s="237">
        <v>0</v>
      </c>
      <c r="J79" s="239">
        <f t="shared" si="4"/>
        <v>1968233.63</v>
      </c>
      <c r="K79" s="176"/>
      <c r="L79" s="345">
        <f t="shared" si="3"/>
        <v>492058.40749999997</v>
      </c>
      <c r="M79" s="176">
        <v>492058.40749999997</v>
      </c>
      <c r="N79" s="176">
        <v>492058.40749999997</v>
      </c>
      <c r="O79" s="176">
        <v>492058.40749999997</v>
      </c>
      <c r="P79" s="378"/>
    </row>
    <row r="80" spans="1:16" s="31" customFormat="1" ht="27.75" customHeight="1">
      <c r="A80" s="372">
        <v>18</v>
      </c>
      <c r="B80" s="200" t="s">
        <v>36</v>
      </c>
      <c r="C80" s="325" t="s">
        <v>1798</v>
      </c>
      <c r="D80" s="233" t="s">
        <v>1132</v>
      </c>
      <c r="E80" s="171"/>
      <c r="F80" s="233">
        <v>2020</v>
      </c>
      <c r="G80" s="238">
        <v>2022</v>
      </c>
      <c r="H80" s="239">
        <v>4204898</v>
      </c>
      <c r="I80" s="237">
        <v>282366.46999999997</v>
      </c>
      <c r="J80" s="239">
        <f t="shared" si="4"/>
        <v>3922531.5300000003</v>
      </c>
      <c r="K80" s="176"/>
      <c r="L80" s="345">
        <f t="shared" si="3"/>
        <v>980632.88250000007</v>
      </c>
      <c r="M80" s="176">
        <v>980632.88250000007</v>
      </c>
      <c r="N80" s="176">
        <v>980632.88250000007</v>
      </c>
      <c r="O80" s="176">
        <v>980632.88250000007</v>
      </c>
      <c r="P80" s="378"/>
    </row>
    <row r="81" spans="1:16" s="31" customFormat="1" ht="39" customHeight="1">
      <c r="A81" s="371">
        <v>19</v>
      </c>
      <c r="B81" s="200" t="s">
        <v>36</v>
      </c>
      <c r="C81" s="325" t="s">
        <v>1799</v>
      </c>
      <c r="D81" s="233" t="s">
        <v>1132</v>
      </c>
      <c r="E81" s="171"/>
      <c r="F81" s="233">
        <v>2020</v>
      </c>
      <c r="G81" s="238">
        <v>2022</v>
      </c>
      <c r="H81" s="239">
        <v>9862314.8499999996</v>
      </c>
      <c r="I81" s="237">
        <v>0</v>
      </c>
      <c r="J81" s="239">
        <f t="shared" si="4"/>
        <v>9862314.8499999996</v>
      </c>
      <c r="K81" s="176"/>
      <c r="L81" s="345">
        <f t="shared" si="3"/>
        <v>2465578.7124999999</v>
      </c>
      <c r="M81" s="176">
        <v>2465578.7124999999</v>
      </c>
      <c r="N81" s="176">
        <v>2465578.7124999999</v>
      </c>
      <c r="O81" s="176">
        <v>2465578.7124999999</v>
      </c>
      <c r="P81" s="378"/>
    </row>
    <row r="82" spans="1:16" s="31" customFormat="1" ht="26.25" customHeight="1" thickBot="1">
      <c r="A82" s="372">
        <v>20</v>
      </c>
      <c r="B82" s="200" t="s">
        <v>36</v>
      </c>
      <c r="C82" s="325" t="s">
        <v>1800</v>
      </c>
      <c r="D82" s="233" t="s">
        <v>1132</v>
      </c>
      <c r="E82" s="171"/>
      <c r="F82" s="233">
        <v>2020</v>
      </c>
      <c r="G82" s="238">
        <v>2021</v>
      </c>
      <c r="H82" s="239">
        <v>3832911.27</v>
      </c>
      <c r="I82" s="237">
        <v>0</v>
      </c>
      <c r="J82" s="239">
        <f t="shared" si="4"/>
        <v>3832911.27</v>
      </c>
      <c r="K82" s="176"/>
      <c r="L82" s="345">
        <f t="shared" si="3"/>
        <v>958227.8175</v>
      </c>
      <c r="M82" s="176">
        <v>958227.8175</v>
      </c>
      <c r="N82" s="176">
        <v>958227.8175</v>
      </c>
      <c r="O82" s="176">
        <v>958227.8175</v>
      </c>
      <c r="P82" s="378"/>
    </row>
    <row r="83" spans="1:16" s="33" customFormat="1" ht="30" customHeight="1" thickBot="1">
      <c r="A83" s="684" t="s">
        <v>20</v>
      </c>
      <c r="B83" s="685"/>
      <c r="C83" s="685"/>
      <c r="D83" s="685"/>
      <c r="E83" s="685"/>
      <c r="F83" s="685"/>
      <c r="G83" s="686"/>
      <c r="H83" s="220">
        <f t="shared" ref="H83:O83" si="5">SUM(H63:H82)</f>
        <v>72132169.439999998</v>
      </c>
      <c r="I83" s="220">
        <f t="shared" si="5"/>
        <v>34949679.019999996</v>
      </c>
      <c r="J83" s="220">
        <f t="shared" si="5"/>
        <v>37182490.420000002</v>
      </c>
      <c r="K83" s="220">
        <f t="shared" si="5"/>
        <v>0</v>
      </c>
      <c r="L83" s="220">
        <f t="shared" si="5"/>
        <v>9295622.6050000004</v>
      </c>
      <c r="M83" s="220">
        <f t="shared" si="5"/>
        <v>9295622.6050000004</v>
      </c>
      <c r="N83" s="220">
        <f t="shared" si="5"/>
        <v>9295622.6050000004</v>
      </c>
      <c r="O83" s="220">
        <f t="shared" si="5"/>
        <v>9295622.6050000004</v>
      </c>
      <c r="P83" s="117"/>
    </row>
    <row r="84" spans="1:16" s="58" customFormat="1" ht="15" customHeight="1" thickBot="1">
      <c r="A84" s="671"/>
      <c r="B84" s="672"/>
      <c r="C84" s="672"/>
      <c r="D84" s="672"/>
      <c r="E84" s="672"/>
      <c r="F84" s="672"/>
      <c r="G84" s="672"/>
      <c r="H84" s="672"/>
      <c r="I84" s="672"/>
      <c r="J84" s="672"/>
      <c r="K84" s="672"/>
      <c r="L84" s="672"/>
      <c r="M84" s="672"/>
      <c r="N84" s="672"/>
      <c r="O84" s="672"/>
      <c r="P84" s="673"/>
    </row>
    <row r="85" spans="1:16" ht="30" customHeight="1" thickBot="1">
      <c r="A85" s="652" t="s">
        <v>55</v>
      </c>
      <c r="B85" s="653"/>
      <c r="C85" s="653"/>
      <c r="D85" s="653"/>
      <c r="E85" s="653"/>
      <c r="F85" s="653"/>
      <c r="G85" s="653"/>
      <c r="H85" s="653"/>
      <c r="I85" s="653"/>
      <c r="J85" s="653"/>
      <c r="K85" s="653"/>
      <c r="L85" s="653"/>
      <c r="M85" s="653"/>
      <c r="N85" s="653"/>
      <c r="O85" s="653"/>
      <c r="P85" s="654"/>
    </row>
    <row r="86" spans="1:16" s="31" customFormat="1" ht="63">
      <c r="A86" s="200">
        <v>1</v>
      </c>
      <c r="B86" s="200" t="s">
        <v>40</v>
      </c>
      <c r="C86" s="394" t="s">
        <v>724</v>
      </c>
      <c r="D86" s="565" t="s">
        <v>187</v>
      </c>
      <c r="E86" s="566" t="s">
        <v>725</v>
      </c>
      <c r="F86" s="565">
        <v>2012</v>
      </c>
      <c r="G86" s="565">
        <v>2024</v>
      </c>
      <c r="H86" s="395">
        <v>105400000</v>
      </c>
      <c r="I86" s="395">
        <v>9986276.9466752969</v>
      </c>
      <c r="J86" s="395">
        <f>13818700/3</f>
        <v>4606233.333333333</v>
      </c>
      <c r="K86" s="147"/>
      <c r="L86" s="147">
        <v>1151558</v>
      </c>
      <c r="M86" s="147">
        <v>1151558</v>
      </c>
      <c r="N86" s="147">
        <v>1151558</v>
      </c>
      <c r="O86" s="147">
        <v>1151558</v>
      </c>
      <c r="P86" s="366"/>
    </row>
    <row r="87" spans="1:16" s="31" customFormat="1" ht="101.25" customHeight="1">
      <c r="A87" s="158">
        <v>2</v>
      </c>
      <c r="B87" s="158" t="s">
        <v>40</v>
      </c>
      <c r="C87" s="229" t="s">
        <v>726</v>
      </c>
      <c r="D87" s="158" t="s">
        <v>187</v>
      </c>
      <c r="E87" s="171" t="s">
        <v>725</v>
      </c>
      <c r="F87" s="158">
        <v>2012</v>
      </c>
      <c r="G87" s="158">
        <v>2024</v>
      </c>
      <c r="H87" s="204">
        <v>410800000</v>
      </c>
      <c r="I87" s="204">
        <v>39151073.116362937</v>
      </c>
      <c r="J87" s="204">
        <f>13818700/3</f>
        <v>4606233.333333333</v>
      </c>
      <c r="K87" s="141"/>
      <c r="L87" s="147">
        <v>1151558</v>
      </c>
      <c r="M87" s="147">
        <v>1151558</v>
      </c>
      <c r="N87" s="147">
        <v>1151558</v>
      </c>
      <c r="O87" s="147">
        <v>1151558</v>
      </c>
      <c r="P87" s="140"/>
    </row>
    <row r="88" spans="1:16" s="31" customFormat="1" ht="47.25">
      <c r="A88" s="158">
        <v>3</v>
      </c>
      <c r="B88" s="158" t="s">
        <v>40</v>
      </c>
      <c r="C88" s="229" t="s">
        <v>727</v>
      </c>
      <c r="D88" s="158" t="s">
        <v>187</v>
      </c>
      <c r="E88" s="171" t="s">
        <v>725</v>
      </c>
      <c r="F88" s="158">
        <v>2012</v>
      </c>
      <c r="G88" s="158">
        <v>2024</v>
      </c>
      <c r="H88" s="204">
        <v>28050000</v>
      </c>
      <c r="I88" s="204">
        <v>22863010.810308449</v>
      </c>
      <c r="J88" s="204">
        <f>13818700/3</f>
        <v>4606233.333333333</v>
      </c>
      <c r="K88" s="141"/>
      <c r="L88" s="147">
        <v>1151558</v>
      </c>
      <c r="M88" s="147">
        <v>1151558</v>
      </c>
      <c r="N88" s="147">
        <v>1151558</v>
      </c>
      <c r="O88" s="147">
        <v>1151558</v>
      </c>
      <c r="P88" s="140"/>
    </row>
    <row r="89" spans="1:16" s="31" customFormat="1" ht="34.5" customHeight="1">
      <c r="A89" s="158">
        <v>4</v>
      </c>
      <c r="B89" s="158" t="s">
        <v>40</v>
      </c>
      <c r="C89" s="229" t="s">
        <v>728</v>
      </c>
      <c r="D89" s="158" t="s">
        <v>187</v>
      </c>
      <c r="E89" s="171" t="s">
        <v>729</v>
      </c>
      <c r="F89" s="158">
        <v>2011</v>
      </c>
      <c r="G89" s="158">
        <v>2024</v>
      </c>
      <c r="H89" s="204">
        <v>1625000000</v>
      </c>
      <c r="I89" s="204">
        <v>1505327134.8599999</v>
      </c>
      <c r="J89" s="204">
        <v>23180000</v>
      </c>
      <c r="K89" s="141"/>
      <c r="L89" s="141">
        <v>5795000</v>
      </c>
      <c r="M89" s="141">
        <v>5795000</v>
      </c>
      <c r="N89" s="141">
        <v>5795000</v>
      </c>
      <c r="O89" s="141">
        <v>5795000</v>
      </c>
      <c r="P89" s="140"/>
    </row>
    <row r="90" spans="1:16" s="31" customFormat="1" ht="34.5" customHeight="1">
      <c r="A90" s="158">
        <v>5</v>
      </c>
      <c r="B90" s="158" t="s">
        <v>40</v>
      </c>
      <c r="C90" s="229" t="s">
        <v>730</v>
      </c>
      <c r="D90" s="158" t="s">
        <v>187</v>
      </c>
      <c r="E90" s="171"/>
      <c r="F90" s="158"/>
      <c r="G90" s="158"/>
      <c r="H90" s="204">
        <v>45060000</v>
      </c>
      <c r="I90" s="204">
        <v>23567576.34</v>
      </c>
      <c r="J90" s="204"/>
      <c r="K90" s="141"/>
      <c r="L90" s="141">
        <v>0</v>
      </c>
      <c r="M90" s="141">
        <v>0</v>
      </c>
      <c r="N90" s="141">
        <v>0</v>
      </c>
      <c r="O90" s="141">
        <v>0</v>
      </c>
      <c r="P90" s="140"/>
    </row>
    <row r="91" spans="1:16" s="31" customFormat="1" ht="34.5" customHeight="1">
      <c r="A91" s="158">
        <v>6</v>
      </c>
      <c r="B91" s="158" t="s">
        <v>40</v>
      </c>
      <c r="C91" s="229" t="s">
        <v>731</v>
      </c>
      <c r="D91" s="158" t="s">
        <v>187</v>
      </c>
      <c r="E91" s="171" t="s">
        <v>732</v>
      </c>
      <c r="F91" s="158">
        <v>2010</v>
      </c>
      <c r="G91" s="158">
        <v>2024</v>
      </c>
      <c r="H91" s="204">
        <v>297000000</v>
      </c>
      <c r="I91" s="204">
        <v>177138499.97999999</v>
      </c>
      <c r="J91" s="204">
        <v>1000</v>
      </c>
      <c r="K91" s="141"/>
      <c r="L91" s="141">
        <v>250</v>
      </c>
      <c r="M91" s="141">
        <v>250</v>
      </c>
      <c r="N91" s="141">
        <v>250</v>
      </c>
      <c r="O91" s="141">
        <v>250</v>
      </c>
      <c r="P91" s="140"/>
    </row>
    <row r="92" spans="1:16" s="31" customFormat="1" ht="34.5" customHeight="1">
      <c r="A92" s="158">
        <v>7</v>
      </c>
      <c r="B92" s="158" t="s">
        <v>40</v>
      </c>
      <c r="C92" s="229" t="s">
        <v>733</v>
      </c>
      <c r="D92" s="158" t="s">
        <v>187</v>
      </c>
      <c r="E92" s="171" t="s">
        <v>734</v>
      </c>
      <c r="F92" s="158">
        <v>1993</v>
      </c>
      <c r="G92" s="158">
        <v>2021</v>
      </c>
      <c r="H92" s="204">
        <v>525000000</v>
      </c>
      <c r="I92" s="204">
        <v>126496985.22</v>
      </c>
      <c r="J92" s="204">
        <v>1000</v>
      </c>
      <c r="K92" s="141"/>
      <c r="L92" s="141">
        <v>250</v>
      </c>
      <c r="M92" s="141">
        <v>250</v>
      </c>
      <c r="N92" s="141">
        <v>250</v>
      </c>
      <c r="O92" s="141">
        <v>250</v>
      </c>
      <c r="P92" s="140"/>
    </row>
    <row r="93" spans="1:16" s="31" customFormat="1" ht="34.5" customHeight="1">
      <c r="A93" s="158">
        <v>8</v>
      </c>
      <c r="B93" s="158" t="s">
        <v>40</v>
      </c>
      <c r="C93" s="229" t="s">
        <v>735</v>
      </c>
      <c r="D93" s="158" t="s">
        <v>187</v>
      </c>
      <c r="E93" s="171"/>
      <c r="F93" s="158"/>
      <c r="G93" s="158"/>
      <c r="H93" s="204">
        <v>60000000</v>
      </c>
      <c r="I93" s="204">
        <v>5651934.5699999994</v>
      </c>
      <c r="J93" s="204">
        <v>600</v>
      </c>
      <c r="K93" s="141"/>
      <c r="L93" s="141">
        <v>150</v>
      </c>
      <c r="M93" s="141">
        <v>150</v>
      </c>
      <c r="N93" s="141">
        <v>150</v>
      </c>
      <c r="O93" s="141">
        <v>150</v>
      </c>
      <c r="P93" s="140"/>
    </row>
    <row r="94" spans="1:16" s="31" customFormat="1" ht="34.5" customHeight="1">
      <c r="A94" s="158">
        <v>9</v>
      </c>
      <c r="B94" s="158" t="s">
        <v>40</v>
      </c>
      <c r="C94" s="229" t="s">
        <v>736</v>
      </c>
      <c r="D94" s="158" t="s">
        <v>187</v>
      </c>
      <c r="E94" s="171" t="s">
        <v>737</v>
      </c>
      <c r="F94" s="158">
        <v>2006</v>
      </c>
      <c r="G94" s="158">
        <v>2024</v>
      </c>
      <c r="H94" s="204">
        <v>250000000</v>
      </c>
      <c r="I94" s="204">
        <v>10343018.396</v>
      </c>
      <c r="J94" s="204">
        <v>400</v>
      </c>
      <c r="K94" s="141"/>
      <c r="L94" s="141">
        <v>100</v>
      </c>
      <c r="M94" s="141">
        <v>100</v>
      </c>
      <c r="N94" s="141">
        <v>100</v>
      </c>
      <c r="O94" s="141">
        <v>100</v>
      </c>
      <c r="P94" s="140"/>
    </row>
    <row r="95" spans="1:16" s="31" customFormat="1" ht="45.75" customHeight="1">
      <c r="A95" s="158">
        <v>10</v>
      </c>
      <c r="B95" s="158" t="s">
        <v>40</v>
      </c>
      <c r="C95" s="229" t="s">
        <v>738</v>
      </c>
      <c r="D95" s="158" t="s">
        <v>187</v>
      </c>
      <c r="E95" s="171" t="s">
        <v>739</v>
      </c>
      <c r="F95" s="158">
        <v>2013</v>
      </c>
      <c r="G95" s="158">
        <v>2023</v>
      </c>
      <c r="H95" s="204">
        <v>21356000</v>
      </c>
      <c r="I95" s="204">
        <v>14525794</v>
      </c>
      <c r="J95" s="204">
        <v>2000</v>
      </c>
      <c r="K95" s="141"/>
      <c r="L95" s="141">
        <v>500</v>
      </c>
      <c r="M95" s="141">
        <v>500</v>
      </c>
      <c r="N95" s="141">
        <v>500</v>
      </c>
      <c r="O95" s="141">
        <v>500</v>
      </c>
      <c r="P95" s="140"/>
    </row>
    <row r="96" spans="1:16" s="31" customFormat="1" ht="45.75" customHeight="1" thickBot="1">
      <c r="A96" s="158">
        <v>11</v>
      </c>
      <c r="B96" s="158" t="s">
        <v>40</v>
      </c>
      <c r="C96" s="396" t="s">
        <v>740</v>
      </c>
      <c r="D96" s="351" t="s">
        <v>187</v>
      </c>
      <c r="E96" s="340" t="s">
        <v>741</v>
      </c>
      <c r="F96" s="351">
        <v>2017</v>
      </c>
      <c r="G96" s="351">
        <v>2022</v>
      </c>
      <c r="H96" s="397">
        <v>34000000</v>
      </c>
      <c r="I96" s="397"/>
      <c r="J96" s="397">
        <v>34000000</v>
      </c>
      <c r="K96" s="141"/>
      <c r="L96" s="141">
        <v>8500000</v>
      </c>
      <c r="M96" s="141">
        <v>8500000</v>
      </c>
      <c r="N96" s="141">
        <v>8500000</v>
      </c>
      <c r="O96" s="141">
        <v>8500000</v>
      </c>
      <c r="P96" s="140"/>
    </row>
    <row r="97" spans="1:16" s="111" customFormat="1" ht="30" customHeight="1" thickBot="1">
      <c r="A97" s="684" t="s">
        <v>20</v>
      </c>
      <c r="B97" s="685"/>
      <c r="C97" s="685"/>
      <c r="D97" s="685"/>
      <c r="E97" s="685"/>
      <c r="F97" s="685"/>
      <c r="G97" s="686"/>
      <c r="H97" s="220">
        <f t="shared" ref="H97:O97" si="6">SUM(H86:H96)</f>
        <v>3401666000</v>
      </c>
      <c r="I97" s="220">
        <f t="shared" si="6"/>
        <v>1935051304.2393463</v>
      </c>
      <c r="J97" s="220">
        <f t="shared" si="6"/>
        <v>71003700</v>
      </c>
      <c r="K97" s="220">
        <f t="shared" si="6"/>
        <v>0</v>
      </c>
      <c r="L97" s="220">
        <f t="shared" si="6"/>
        <v>17750924</v>
      </c>
      <c r="M97" s="220">
        <f t="shared" si="6"/>
        <v>17750924</v>
      </c>
      <c r="N97" s="220">
        <f t="shared" si="6"/>
        <v>17750924</v>
      </c>
      <c r="O97" s="220">
        <f t="shared" si="6"/>
        <v>17750924</v>
      </c>
      <c r="P97" s="118"/>
    </row>
    <row r="98" spans="1:16" s="10" customFormat="1" ht="15" customHeight="1" thickBot="1">
      <c r="A98" s="671"/>
      <c r="B98" s="672"/>
      <c r="C98" s="672"/>
      <c r="D98" s="672"/>
      <c r="E98" s="672"/>
      <c r="F98" s="672"/>
      <c r="G98" s="672"/>
      <c r="H98" s="672"/>
      <c r="I98" s="672"/>
      <c r="J98" s="672"/>
      <c r="K98" s="672"/>
      <c r="L98" s="672"/>
      <c r="M98" s="672"/>
      <c r="N98" s="672"/>
      <c r="O98" s="672"/>
      <c r="P98" s="673"/>
    </row>
    <row r="99" spans="1:16" ht="30" customHeight="1" thickBot="1">
      <c r="A99" s="652" t="s">
        <v>127</v>
      </c>
      <c r="B99" s="653"/>
      <c r="C99" s="653"/>
      <c r="D99" s="653"/>
      <c r="E99" s="653"/>
      <c r="F99" s="653"/>
      <c r="G99" s="658"/>
      <c r="H99" s="653"/>
      <c r="I99" s="653"/>
      <c r="J99" s="653"/>
      <c r="K99" s="658"/>
      <c r="L99" s="653"/>
      <c r="M99" s="653"/>
      <c r="N99" s="653"/>
      <c r="O99" s="653"/>
      <c r="P99" s="654"/>
    </row>
    <row r="100" spans="1:16" s="104" customFormat="1" ht="31.5">
      <c r="A100" s="200">
        <v>1</v>
      </c>
      <c r="B100" s="200" t="s">
        <v>25</v>
      </c>
      <c r="C100" s="171" t="s">
        <v>1664</v>
      </c>
      <c r="D100" s="158" t="s">
        <v>51</v>
      </c>
      <c r="E100" s="171" t="s">
        <v>1665</v>
      </c>
      <c r="F100" s="171">
        <v>2020</v>
      </c>
      <c r="G100" s="171">
        <v>2022</v>
      </c>
      <c r="H100" s="144">
        <v>600856000</v>
      </c>
      <c r="I100" s="144">
        <v>194530623.72999999</v>
      </c>
      <c r="J100" s="144">
        <v>406325376.26999998</v>
      </c>
      <c r="K100" s="144"/>
      <c r="L100" s="144">
        <v>101581344.06999999</v>
      </c>
      <c r="M100" s="144">
        <v>101581344.06999999</v>
      </c>
      <c r="N100" s="144">
        <v>101581344.06999999</v>
      </c>
      <c r="O100" s="144">
        <v>101581344.06</v>
      </c>
      <c r="P100" s="367"/>
    </row>
    <row r="101" spans="1:16" s="104" customFormat="1" ht="31.5">
      <c r="A101" s="158">
        <v>2</v>
      </c>
      <c r="B101" s="200" t="s">
        <v>25</v>
      </c>
      <c r="C101" s="171" t="s">
        <v>1666</v>
      </c>
      <c r="D101" s="158" t="s">
        <v>51</v>
      </c>
      <c r="E101" s="171" t="s">
        <v>1665</v>
      </c>
      <c r="F101" s="171">
        <v>2020</v>
      </c>
      <c r="G101" s="171">
        <v>2021</v>
      </c>
      <c r="H101" s="144">
        <v>123499901.05</v>
      </c>
      <c r="I101" s="144">
        <v>54593598.670000002</v>
      </c>
      <c r="J101" s="144">
        <v>68906302.379999995</v>
      </c>
      <c r="K101" s="144"/>
      <c r="L101" s="144">
        <v>34453151.189999998</v>
      </c>
      <c r="M101" s="144">
        <v>34453151.189999998</v>
      </c>
      <c r="N101" s="144"/>
      <c r="O101" s="144"/>
      <c r="P101" s="368"/>
    </row>
    <row r="102" spans="1:16" s="104" customFormat="1" ht="31.5">
      <c r="A102" s="158">
        <v>3</v>
      </c>
      <c r="B102" s="200" t="s">
        <v>25</v>
      </c>
      <c r="C102" s="171" t="s">
        <v>1667</v>
      </c>
      <c r="D102" s="158" t="s">
        <v>51</v>
      </c>
      <c r="E102" s="171" t="s">
        <v>1665</v>
      </c>
      <c r="F102" s="171">
        <v>2020</v>
      </c>
      <c r="G102" s="171">
        <v>2021</v>
      </c>
      <c r="H102" s="144">
        <v>687350000</v>
      </c>
      <c r="I102" s="144">
        <v>87375000</v>
      </c>
      <c r="J102" s="144">
        <v>599975000</v>
      </c>
      <c r="K102" s="144"/>
      <c r="L102" s="144">
        <v>149993750</v>
      </c>
      <c r="M102" s="144">
        <v>149993750</v>
      </c>
      <c r="N102" s="144">
        <v>149993750</v>
      </c>
      <c r="O102" s="144">
        <v>149993750</v>
      </c>
      <c r="P102" s="368"/>
    </row>
    <row r="103" spans="1:16" s="104" customFormat="1" ht="31.5">
      <c r="A103" s="200">
        <v>4</v>
      </c>
      <c r="B103" s="200" t="s">
        <v>25</v>
      </c>
      <c r="C103" s="171" t="s">
        <v>1668</v>
      </c>
      <c r="D103" s="158" t="s">
        <v>879</v>
      </c>
      <c r="E103" s="171" t="s">
        <v>1665</v>
      </c>
      <c r="F103" s="171">
        <v>2020</v>
      </c>
      <c r="G103" s="171">
        <v>2021</v>
      </c>
      <c r="H103" s="144">
        <v>5876587.79</v>
      </c>
      <c r="I103" s="144">
        <v>4156278.22</v>
      </c>
      <c r="J103" s="144">
        <v>843721.78</v>
      </c>
      <c r="K103" s="144"/>
      <c r="L103" s="144">
        <v>843721.78</v>
      </c>
      <c r="M103" s="144"/>
      <c r="N103" s="144"/>
      <c r="O103" s="144"/>
      <c r="P103" s="368"/>
    </row>
    <row r="104" spans="1:16" s="104" customFormat="1" ht="31.5">
      <c r="A104" s="158">
        <v>5</v>
      </c>
      <c r="B104" s="200" t="s">
        <v>25</v>
      </c>
      <c r="C104" s="171" t="s">
        <v>1669</v>
      </c>
      <c r="D104" s="158" t="s">
        <v>836</v>
      </c>
      <c r="E104" s="171" t="s">
        <v>1309</v>
      </c>
      <c r="F104" s="171">
        <v>2019</v>
      </c>
      <c r="G104" s="171">
        <v>2021</v>
      </c>
      <c r="H104" s="144">
        <v>10124168.6</v>
      </c>
      <c r="I104" s="144">
        <v>4119036.06</v>
      </c>
      <c r="J104" s="144">
        <v>232455.42</v>
      </c>
      <c r="K104" s="144"/>
      <c r="L104" s="144">
        <v>232455.42</v>
      </c>
      <c r="M104" s="144"/>
      <c r="N104" s="144"/>
      <c r="O104" s="144"/>
      <c r="P104" s="368"/>
    </row>
    <row r="105" spans="1:16" s="104" customFormat="1" ht="33" customHeight="1">
      <c r="A105" s="158">
        <v>6</v>
      </c>
      <c r="B105" s="200" t="s">
        <v>25</v>
      </c>
      <c r="C105" s="171" t="s">
        <v>1670</v>
      </c>
      <c r="D105" s="158" t="s">
        <v>853</v>
      </c>
      <c r="E105" s="171" t="s">
        <v>1309</v>
      </c>
      <c r="F105" s="171">
        <v>2020</v>
      </c>
      <c r="G105" s="171">
        <v>2022</v>
      </c>
      <c r="H105" s="144">
        <v>5990034</v>
      </c>
      <c r="I105" s="144">
        <v>1084311.49</v>
      </c>
      <c r="J105" s="144">
        <v>3915688.51</v>
      </c>
      <c r="K105" s="144"/>
      <c r="L105" s="144">
        <v>978922.13</v>
      </c>
      <c r="M105" s="144">
        <v>978922.13</v>
      </c>
      <c r="N105" s="144">
        <v>978922.13</v>
      </c>
      <c r="O105" s="144">
        <v>978922.12</v>
      </c>
      <c r="P105" s="368"/>
    </row>
    <row r="106" spans="1:16" s="104" customFormat="1" ht="47.25">
      <c r="A106" s="200">
        <v>7</v>
      </c>
      <c r="B106" s="200" t="s">
        <v>25</v>
      </c>
      <c r="C106" s="171" t="s">
        <v>1671</v>
      </c>
      <c r="D106" s="158" t="s">
        <v>842</v>
      </c>
      <c r="E106" s="171" t="s">
        <v>1309</v>
      </c>
      <c r="F106" s="171">
        <v>2020</v>
      </c>
      <c r="G106" s="171">
        <v>2021</v>
      </c>
      <c r="H106" s="144">
        <v>32285980</v>
      </c>
      <c r="I106" s="144">
        <v>0</v>
      </c>
      <c r="J106" s="144">
        <v>3000000</v>
      </c>
      <c r="K106" s="144"/>
      <c r="L106" s="144">
        <v>3000000</v>
      </c>
      <c r="M106" s="144"/>
      <c r="N106" s="144"/>
      <c r="O106" s="144"/>
      <c r="P106" s="368"/>
    </row>
    <row r="107" spans="1:16" s="104" customFormat="1" ht="27.75" customHeight="1">
      <c r="A107" s="158">
        <v>8</v>
      </c>
      <c r="B107" s="200" t="s">
        <v>36</v>
      </c>
      <c r="C107" s="171" t="s">
        <v>1672</v>
      </c>
      <c r="D107" s="158" t="s">
        <v>59</v>
      </c>
      <c r="E107" s="171" t="s">
        <v>1309</v>
      </c>
      <c r="F107" s="171">
        <v>2020</v>
      </c>
      <c r="G107" s="171">
        <v>2021</v>
      </c>
      <c r="H107" s="144">
        <v>1717063.95</v>
      </c>
      <c r="I107" s="144">
        <v>0</v>
      </c>
      <c r="J107" s="144">
        <v>750000</v>
      </c>
      <c r="K107" s="144"/>
      <c r="L107" s="144">
        <v>750000</v>
      </c>
      <c r="M107" s="144"/>
      <c r="N107" s="144"/>
      <c r="O107" s="144"/>
      <c r="P107" s="368"/>
    </row>
    <row r="108" spans="1:16" s="104" customFormat="1" ht="31.5">
      <c r="A108" s="158">
        <v>9</v>
      </c>
      <c r="B108" s="200" t="s">
        <v>25</v>
      </c>
      <c r="C108" s="171" t="s">
        <v>1673</v>
      </c>
      <c r="D108" s="158" t="s">
        <v>836</v>
      </c>
      <c r="E108" s="171" t="s">
        <v>1309</v>
      </c>
      <c r="F108" s="171">
        <v>2020</v>
      </c>
      <c r="G108" s="171">
        <v>2021</v>
      </c>
      <c r="H108" s="144">
        <v>11900471.1</v>
      </c>
      <c r="I108" s="144">
        <v>0</v>
      </c>
      <c r="J108" s="144">
        <v>667223.6</v>
      </c>
      <c r="K108" s="144"/>
      <c r="L108" s="144">
        <v>667223.6</v>
      </c>
      <c r="M108" s="144"/>
      <c r="N108" s="144"/>
      <c r="O108" s="144"/>
      <c r="P108" s="368"/>
    </row>
    <row r="109" spans="1:16" s="104" customFormat="1" ht="31.5">
      <c r="A109" s="200">
        <v>10</v>
      </c>
      <c r="B109" s="200" t="s">
        <v>25</v>
      </c>
      <c r="C109" s="171" t="s">
        <v>1674</v>
      </c>
      <c r="D109" s="158" t="s">
        <v>823</v>
      </c>
      <c r="E109" s="171" t="s">
        <v>1309</v>
      </c>
      <c r="F109" s="171">
        <v>2017</v>
      </c>
      <c r="G109" s="171">
        <v>2021</v>
      </c>
      <c r="H109" s="144">
        <v>73478600</v>
      </c>
      <c r="I109" s="144">
        <v>0</v>
      </c>
      <c r="J109" s="144">
        <v>5000000</v>
      </c>
      <c r="K109" s="144"/>
      <c r="L109" s="144">
        <v>5000000</v>
      </c>
      <c r="M109" s="144"/>
      <c r="N109" s="144"/>
      <c r="O109" s="144"/>
      <c r="P109" s="368"/>
    </row>
    <row r="110" spans="1:16" s="104" customFormat="1" ht="31.5">
      <c r="A110" s="158">
        <v>11</v>
      </c>
      <c r="B110" s="200" t="s">
        <v>25</v>
      </c>
      <c r="C110" s="171" t="s">
        <v>1675</v>
      </c>
      <c r="D110" s="158" t="s">
        <v>834</v>
      </c>
      <c r="E110" s="171" t="s">
        <v>1309</v>
      </c>
      <c r="F110" s="171">
        <v>2020</v>
      </c>
      <c r="G110" s="171">
        <v>2021</v>
      </c>
      <c r="H110" s="144">
        <v>14750000</v>
      </c>
      <c r="I110" s="144">
        <v>0</v>
      </c>
      <c r="J110" s="144">
        <v>14696108.699999999</v>
      </c>
      <c r="K110" s="144"/>
      <c r="L110" s="175">
        <v>3674027.18</v>
      </c>
      <c r="M110" s="144">
        <v>3674027.18</v>
      </c>
      <c r="N110" s="144">
        <v>3674027.17</v>
      </c>
      <c r="O110" s="144">
        <v>3674027.17</v>
      </c>
      <c r="P110" s="368"/>
    </row>
    <row r="111" spans="1:16" s="104" customFormat="1" ht="36.75" customHeight="1">
      <c r="A111" s="158">
        <v>12</v>
      </c>
      <c r="B111" s="200" t="s">
        <v>40</v>
      </c>
      <c r="C111" s="171" t="s">
        <v>1676</v>
      </c>
      <c r="D111" s="158" t="s">
        <v>47</v>
      </c>
      <c r="E111" s="171" t="s">
        <v>1665</v>
      </c>
      <c r="F111" s="171">
        <v>2021</v>
      </c>
      <c r="G111" s="171">
        <v>2021</v>
      </c>
      <c r="H111" s="144">
        <v>2336400</v>
      </c>
      <c r="I111" s="144">
        <v>0</v>
      </c>
      <c r="J111" s="144">
        <v>500000</v>
      </c>
      <c r="K111" s="144"/>
      <c r="L111" s="144">
        <v>500000</v>
      </c>
      <c r="M111" s="144"/>
      <c r="N111" s="144"/>
      <c r="O111" s="144"/>
      <c r="P111" s="368"/>
    </row>
    <row r="112" spans="1:16" s="104" customFormat="1" ht="31.5">
      <c r="A112" s="200">
        <v>13</v>
      </c>
      <c r="B112" s="200" t="s">
        <v>25</v>
      </c>
      <c r="C112" s="171" t="s">
        <v>1677</v>
      </c>
      <c r="D112" s="158" t="s">
        <v>836</v>
      </c>
      <c r="E112" s="171" t="s">
        <v>1309</v>
      </c>
      <c r="F112" s="171">
        <v>2020</v>
      </c>
      <c r="G112" s="171">
        <v>2021</v>
      </c>
      <c r="H112" s="144">
        <v>15923971.029999999</v>
      </c>
      <c r="I112" s="144">
        <v>0</v>
      </c>
      <c r="J112" s="144">
        <v>213740.34</v>
      </c>
      <c r="K112" s="144"/>
      <c r="L112" s="144">
        <v>213740.34</v>
      </c>
      <c r="M112" s="144"/>
      <c r="N112" s="144"/>
      <c r="O112" s="144"/>
      <c r="P112" s="368"/>
    </row>
    <row r="113" spans="1:16" s="104" customFormat="1" ht="48" thickBot="1">
      <c r="A113" s="158">
        <v>14</v>
      </c>
      <c r="B113" s="200" t="s">
        <v>25</v>
      </c>
      <c r="C113" s="171" t="s">
        <v>1678</v>
      </c>
      <c r="D113" s="158" t="s">
        <v>842</v>
      </c>
      <c r="E113" s="171" t="s">
        <v>1309</v>
      </c>
      <c r="F113" s="171">
        <v>2020</v>
      </c>
      <c r="G113" s="171">
        <v>2021</v>
      </c>
      <c r="H113" s="144">
        <v>2171200</v>
      </c>
      <c r="I113" s="144">
        <v>0</v>
      </c>
      <c r="J113" s="144">
        <v>1000000</v>
      </c>
      <c r="K113" s="144"/>
      <c r="L113" s="144">
        <v>500000</v>
      </c>
      <c r="M113" s="144">
        <v>500000</v>
      </c>
      <c r="N113" s="144"/>
      <c r="O113" s="144"/>
      <c r="P113" s="369"/>
    </row>
    <row r="114" spans="1:16" s="107" customFormat="1" ht="30" customHeight="1" thickBot="1">
      <c r="A114" s="668" t="s">
        <v>20</v>
      </c>
      <c r="B114" s="669"/>
      <c r="C114" s="669"/>
      <c r="D114" s="669"/>
      <c r="E114" s="669"/>
      <c r="F114" s="669"/>
      <c r="G114" s="670"/>
      <c r="H114" s="146">
        <f t="shared" ref="H114:O114" si="7">SUM(H100:H113)</f>
        <v>1588260377.5199997</v>
      </c>
      <c r="I114" s="146">
        <f t="shared" si="7"/>
        <v>345858848.17000002</v>
      </c>
      <c r="J114" s="146">
        <f t="shared" si="7"/>
        <v>1106025617</v>
      </c>
      <c r="K114" s="406">
        <f t="shared" si="7"/>
        <v>0</v>
      </c>
      <c r="L114" s="146">
        <f t="shared" si="7"/>
        <v>302388335.70999998</v>
      </c>
      <c r="M114" s="146">
        <f t="shared" si="7"/>
        <v>291181194.56999999</v>
      </c>
      <c r="N114" s="146">
        <f t="shared" si="7"/>
        <v>256228043.36999997</v>
      </c>
      <c r="O114" s="146">
        <f t="shared" si="7"/>
        <v>256228043.34999999</v>
      </c>
      <c r="P114" s="119"/>
    </row>
    <row r="115" spans="1:16" ht="15" customHeight="1" thickBot="1">
      <c r="A115" s="671"/>
      <c r="B115" s="672"/>
      <c r="C115" s="672"/>
      <c r="D115" s="672"/>
      <c r="E115" s="672"/>
      <c r="F115" s="672"/>
      <c r="G115" s="672"/>
      <c r="H115" s="672"/>
      <c r="I115" s="672"/>
      <c r="J115" s="672"/>
      <c r="K115" s="675"/>
      <c r="L115" s="672"/>
      <c r="M115" s="672"/>
      <c r="N115" s="672"/>
      <c r="O115" s="672"/>
      <c r="P115" s="673"/>
    </row>
    <row r="116" spans="1:16" ht="30" customHeight="1" thickBot="1">
      <c r="A116" s="652" t="s">
        <v>128</v>
      </c>
      <c r="B116" s="653"/>
      <c r="C116" s="653"/>
      <c r="D116" s="653"/>
      <c r="E116" s="653"/>
      <c r="F116" s="653"/>
      <c r="G116" s="653"/>
      <c r="H116" s="653"/>
      <c r="I116" s="653"/>
      <c r="J116" s="653"/>
      <c r="K116" s="653"/>
      <c r="L116" s="653"/>
      <c r="M116" s="653"/>
      <c r="N116" s="653"/>
      <c r="O116" s="653"/>
      <c r="P116" s="654"/>
    </row>
    <row r="117" spans="1:16" s="101" customFormat="1" ht="15.75">
      <c r="A117" s="200">
        <v>1</v>
      </c>
      <c r="B117" s="200" t="s">
        <v>66</v>
      </c>
      <c r="C117" s="233" t="s">
        <v>1103</v>
      </c>
      <c r="D117" s="233" t="s">
        <v>384</v>
      </c>
      <c r="E117" s="152" t="s">
        <v>1104</v>
      </c>
      <c r="F117" s="233">
        <v>2021</v>
      </c>
      <c r="G117" s="233">
        <v>2021</v>
      </c>
      <c r="H117" s="237">
        <v>300000</v>
      </c>
      <c r="I117" s="237">
        <v>0</v>
      </c>
      <c r="J117" s="237">
        <v>0</v>
      </c>
      <c r="K117" s="237">
        <v>0</v>
      </c>
      <c r="L117" s="159">
        <v>0</v>
      </c>
      <c r="M117" s="159">
        <v>100000</v>
      </c>
      <c r="N117" s="159">
        <v>100000</v>
      </c>
      <c r="O117" s="159">
        <v>100000</v>
      </c>
      <c r="P117" s="233" t="s">
        <v>1157</v>
      </c>
    </row>
    <row r="118" spans="1:16" s="101" customFormat="1" ht="15.75">
      <c r="A118" s="158">
        <v>2</v>
      </c>
      <c r="B118" s="200" t="s">
        <v>66</v>
      </c>
      <c r="C118" s="233" t="s">
        <v>1105</v>
      </c>
      <c r="D118" s="233" t="s">
        <v>716</v>
      </c>
      <c r="E118" s="171" t="s">
        <v>1106</v>
      </c>
      <c r="F118" s="233">
        <v>2021</v>
      </c>
      <c r="G118" s="233">
        <v>2023</v>
      </c>
      <c r="H118" s="237">
        <v>1200000</v>
      </c>
      <c r="I118" s="237">
        <v>0</v>
      </c>
      <c r="J118" s="237">
        <v>0</v>
      </c>
      <c r="K118" s="237">
        <v>0</v>
      </c>
      <c r="L118" s="237">
        <v>0</v>
      </c>
      <c r="M118" s="237">
        <v>0</v>
      </c>
      <c r="N118" s="237">
        <v>0</v>
      </c>
      <c r="O118" s="237">
        <v>0</v>
      </c>
      <c r="P118" s="233" t="s">
        <v>1158</v>
      </c>
    </row>
    <row r="119" spans="1:16" s="101" customFormat="1" ht="15.75">
      <c r="A119" s="200">
        <v>3</v>
      </c>
      <c r="B119" s="200" t="s">
        <v>66</v>
      </c>
      <c r="C119" s="233" t="s">
        <v>1107</v>
      </c>
      <c r="D119" s="233" t="s">
        <v>716</v>
      </c>
      <c r="E119" s="171" t="s">
        <v>1106</v>
      </c>
      <c r="F119" s="233">
        <v>2021</v>
      </c>
      <c r="G119" s="233">
        <v>2023</v>
      </c>
      <c r="H119" s="237">
        <v>1200000</v>
      </c>
      <c r="I119" s="237">
        <v>0</v>
      </c>
      <c r="J119" s="237">
        <v>0</v>
      </c>
      <c r="K119" s="237">
        <v>0</v>
      </c>
      <c r="L119" s="237">
        <v>0</v>
      </c>
      <c r="M119" s="237">
        <v>0</v>
      </c>
      <c r="N119" s="237">
        <v>0</v>
      </c>
      <c r="O119" s="237">
        <v>0</v>
      </c>
      <c r="P119" s="233" t="s">
        <v>1158</v>
      </c>
    </row>
    <row r="120" spans="1:16" s="101" customFormat="1" ht="15.75">
      <c r="A120" s="200">
        <v>4</v>
      </c>
      <c r="B120" s="200" t="s">
        <v>66</v>
      </c>
      <c r="C120" s="233" t="s">
        <v>1108</v>
      </c>
      <c r="D120" s="233" t="s">
        <v>716</v>
      </c>
      <c r="E120" s="171" t="s">
        <v>1109</v>
      </c>
      <c r="F120" s="233">
        <v>2017</v>
      </c>
      <c r="G120" s="233">
        <v>2021</v>
      </c>
      <c r="H120" s="237">
        <v>2997661</v>
      </c>
      <c r="I120" s="237">
        <v>736772</v>
      </c>
      <c r="J120" s="237">
        <v>500000</v>
      </c>
      <c r="K120" s="237">
        <v>500000</v>
      </c>
      <c r="L120" s="144">
        <v>0</v>
      </c>
      <c r="M120" s="144">
        <v>166667</v>
      </c>
      <c r="N120" s="144">
        <v>166667</v>
      </c>
      <c r="O120" s="144">
        <v>166667</v>
      </c>
      <c r="P120" s="233" t="s">
        <v>1159</v>
      </c>
    </row>
    <row r="121" spans="1:16" s="101" customFormat="1" ht="15.75">
      <c r="A121" s="158">
        <v>5</v>
      </c>
      <c r="B121" s="200" t="s">
        <v>66</v>
      </c>
      <c r="C121" s="234" t="s">
        <v>1110</v>
      </c>
      <c r="D121" s="233" t="s">
        <v>199</v>
      </c>
      <c r="E121" s="171" t="s">
        <v>1111</v>
      </c>
      <c r="F121" s="233">
        <v>2017</v>
      </c>
      <c r="G121" s="233">
        <v>2021</v>
      </c>
      <c r="H121" s="237">
        <v>54100965</v>
      </c>
      <c r="I121" s="237">
        <v>0</v>
      </c>
      <c r="J121" s="237">
        <v>0</v>
      </c>
      <c r="K121" s="237">
        <v>0</v>
      </c>
      <c r="L121" s="237">
        <v>0</v>
      </c>
      <c r="M121" s="237">
        <v>0</v>
      </c>
      <c r="N121" s="237">
        <v>0</v>
      </c>
      <c r="O121" s="237">
        <v>0</v>
      </c>
      <c r="P121" s="233" t="s">
        <v>1160</v>
      </c>
    </row>
    <row r="122" spans="1:16" s="101" customFormat="1" ht="15.75">
      <c r="A122" s="200">
        <v>6</v>
      </c>
      <c r="B122" s="200" t="s">
        <v>66</v>
      </c>
      <c r="C122" s="218" t="s">
        <v>1112</v>
      </c>
      <c r="D122" s="233" t="s">
        <v>199</v>
      </c>
      <c r="E122" s="171" t="s">
        <v>1106</v>
      </c>
      <c r="F122" s="233">
        <v>2021</v>
      </c>
      <c r="G122" s="233">
        <v>2022</v>
      </c>
      <c r="H122" s="237">
        <v>2388500</v>
      </c>
      <c r="I122" s="237">
        <v>0</v>
      </c>
      <c r="J122" s="237">
        <v>1000000</v>
      </c>
      <c r="K122" s="237">
        <v>1000000</v>
      </c>
      <c r="L122" s="144">
        <v>174672</v>
      </c>
      <c r="M122" s="144">
        <v>275109</v>
      </c>
      <c r="N122" s="144">
        <v>275109</v>
      </c>
      <c r="O122" s="144">
        <v>275109</v>
      </c>
      <c r="P122" s="233" t="s">
        <v>1160</v>
      </c>
    </row>
    <row r="123" spans="1:16" s="101" customFormat="1" ht="15.75">
      <c r="A123" s="200">
        <v>7</v>
      </c>
      <c r="B123" s="200" t="s">
        <v>66</v>
      </c>
      <c r="C123" s="218" t="s">
        <v>1113</v>
      </c>
      <c r="D123" s="233" t="s">
        <v>716</v>
      </c>
      <c r="E123" s="171" t="s">
        <v>1106</v>
      </c>
      <c r="F123" s="233">
        <v>2021</v>
      </c>
      <c r="G123" s="233">
        <v>2022</v>
      </c>
      <c r="H123" s="237">
        <v>3876684</v>
      </c>
      <c r="I123" s="237">
        <v>0</v>
      </c>
      <c r="J123" s="237">
        <v>1000000</v>
      </c>
      <c r="K123" s="237">
        <v>1000000</v>
      </c>
      <c r="L123" s="144">
        <v>179572</v>
      </c>
      <c r="M123" s="144">
        <v>273476</v>
      </c>
      <c r="N123" s="144">
        <v>273476</v>
      </c>
      <c r="O123" s="144">
        <v>273476</v>
      </c>
      <c r="P123" s="233" t="s">
        <v>1160</v>
      </c>
    </row>
    <row r="124" spans="1:16" s="101" customFormat="1" ht="31.5">
      <c r="A124" s="158">
        <v>8</v>
      </c>
      <c r="B124" s="200" t="s">
        <v>66</v>
      </c>
      <c r="C124" s="235" t="s">
        <v>1114</v>
      </c>
      <c r="D124" s="233" t="s">
        <v>384</v>
      </c>
      <c r="E124" s="171" t="s">
        <v>1106</v>
      </c>
      <c r="F124" s="233">
        <v>2014</v>
      </c>
      <c r="G124" s="233">
        <v>2021</v>
      </c>
      <c r="H124" s="237">
        <v>2200510</v>
      </c>
      <c r="I124" s="237">
        <v>418670</v>
      </c>
      <c r="J124" s="237">
        <v>400000</v>
      </c>
      <c r="K124" s="237">
        <v>400000</v>
      </c>
      <c r="L124" s="158">
        <v>0</v>
      </c>
      <c r="M124" s="144">
        <v>133333</v>
      </c>
      <c r="N124" s="144">
        <v>133333</v>
      </c>
      <c r="O124" s="144">
        <v>133333</v>
      </c>
      <c r="P124" s="233" t="s">
        <v>1159</v>
      </c>
    </row>
    <row r="125" spans="1:16" s="101" customFormat="1" ht="15.75">
      <c r="A125" s="200">
        <v>9</v>
      </c>
      <c r="B125" s="200" t="s">
        <v>66</v>
      </c>
      <c r="C125" s="233" t="s">
        <v>1115</v>
      </c>
      <c r="D125" s="233" t="s">
        <v>384</v>
      </c>
      <c r="E125" s="171" t="s">
        <v>1116</v>
      </c>
      <c r="F125" s="238">
        <v>2021</v>
      </c>
      <c r="G125" s="238">
        <v>2021</v>
      </c>
      <c r="H125" s="237">
        <v>500000</v>
      </c>
      <c r="I125" s="237">
        <v>0</v>
      </c>
      <c r="J125" s="237">
        <v>500000</v>
      </c>
      <c r="K125" s="237">
        <v>0</v>
      </c>
      <c r="L125" s="158">
        <v>0</v>
      </c>
      <c r="M125" s="144">
        <v>166667</v>
      </c>
      <c r="N125" s="144">
        <v>166667</v>
      </c>
      <c r="O125" s="144">
        <v>166667</v>
      </c>
      <c r="P125" s="233" t="s">
        <v>1157</v>
      </c>
    </row>
    <row r="126" spans="1:16" s="101" customFormat="1" ht="15.75">
      <c r="A126" s="200">
        <v>10</v>
      </c>
      <c r="B126" s="200" t="s">
        <v>66</v>
      </c>
      <c r="C126" s="233" t="s">
        <v>1117</v>
      </c>
      <c r="D126" s="233" t="s">
        <v>688</v>
      </c>
      <c r="E126" s="171" t="s">
        <v>1118</v>
      </c>
      <c r="F126" s="238">
        <v>2021</v>
      </c>
      <c r="G126" s="238">
        <v>2021</v>
      </c>
      <c r="H126" s="237">
        <v>300000</v>
      </c>
      <c r="I126" s="237">
        <v>0</v>
      </c>
      <c r="J126" s="237">
        <v>300000</v>
      </c>
      <c r="K126" s="237">
        <v>0</v>
      </c>
      <c r="L126" s="237">
        <v>0</v>
      </c>
      <c r="M126" s="237">
        <v>0</v>
      </c>
      <c r="N126" s="237">
        <v>0</v>
      </c>
      <c r="O126" s="237">
        <v>0</v>
      </c>
      <c r="P126" s="233" t="s">
        <v>1157</v>
      </c>
    </row>
    <row r="127" spans="1:16" s="101" customFormat="1" ht="15.75">
      <c r="A127" s="158">
        <v>11</v>
      </c>
      <c r="B127" s="200" t="s">
        <v>66</v>
      </c>
      <c r="C127" s="233" t="s">
        <v>1119</v>
      </c>
      <c r="D127" s="233" t="s">
        <v>1120</v>
      </c>
      <c r="E127" s="171" t="s">
        <v>1118</v>
      </c>
      <c r="F127" s="238">
        <v>2021</v>
      </c>
      <c r="G127" s="238">
        <v>2022</v>
      </c>
      <c r="H127" s="237">
        <v>3566814</v>
      </c>
      <c r="I127" s="237">
        <v>0</v>
      </c>
      <c r="J127" s="237">
        <v>3566814</v>
      </c>
      <c r="K127" s="237">
        <v>0</v>
      </c>
      <c r="L127" s="237">
        <v>0</v>
      </c>
      <c r="M127" s="237">
        <v>0</v>
      </c>
      <c r="N127" s="237">
        <v>0</v>
      </c>
      <c r="O127" s="237">
        <v>0</v>
      </c>
      <c r="P127" s="233" t="s">
        <v>1160</v>
      </c>
    </row>
    <row r="128" spans="1:16" s="101" customFormat="1" ht="15.75">
      <c r="A128" s="200">
        <v>12</v>
      </c>
      <c r="B128" s="200" t="s">
        <v>66</v>
      </c>
      <c r="C128" s="233" t="s">
        <v>1121</v>
      </c>
      <c r="D128" s="233" t="s">
        <v>1122</v>
      </c>
      <c r="E128" s="171" t="s">
        <v>1118</v>
      </c>
      <c r="F128" s="238">
        <v>2021</v>
      </c>
      <c r="G128" s="238">
        <v>2021</v>
      </c>
      <c r="H128" s="237">
        <v>250000</v>
      </c>
      <c r="I128" s="237">
        <v>0</v>
      </c>
      <c r="J128" s="237">
        <v>250000</v>
      </c>
      <c r="K128" s="237">
        <v>0</v>
      </c>
      <c r="L128" s="237">
        <v>0</v>
      </c>
      <c r="M128" s="237">
        <v>0</v>
      </c>
      <c r="N128" s="237">
        <v>0</v>
      </c>
      <c r="O128" s="237">
        <v>0</v>
      </c>
      <c r="P128" s="233" t="s">
        <v>1161</v>
      </c>
    </row>
    <row r="129" spans="1:16" s="101" customFormat="1" ht="15.75">
      <c r="A129" s="200">
        <v>13</v>
      </c>
      <c r="B129" s="200" t="s">
        <v>66</v>
      </c>
      <c r="C129" s="233" t="s">
        <v>1123</v>
      </c>
      <c r="D129" s="233" t="s">
        <v>199</v>
      </c>
      <c r="E129" s="171" t="s">
        <v>1124</v>
      </c>
      <c r="F129" s="238">
        <v>2021</v>
      </c>
      <c r="G129" s="238">
        <v>2021</v>
      </c>
      <c r="H129" s="237">
        <v>5000000</v>
      </c>
      <c r="I129" s="237">
        <v>0</v>
      </c>
      <c r="J129" s="237">
        <v>5000000</v>
      </c>
      <c r="K129" s="237">
        <v>0</v>
      </c>
      <c r="L129" s="237">
        <v>0</v>
      </c>
      <c r="M129" s="237">
        <v>0</v>
      </c>
      <c r="N129" s="237">
        <v>0</v>
      </c>
      <c r="O129" s="237">
        <v>0</v>
      </c>
      <c r="P129" s="233" t="s">
        <v>1161</v>
      </c>
    </row>
    <row r="130" spans="1:16" s="101" customFormat="1" ht="15.75">
      <c r="A130" s="158">
        <v>14</v>
      </c>
      <c r="B130" s="200" t="s">
        <v>66</v>
      </c>
      <c r="C130" s="233" t="s">
        <v>1125</v>
      </c>
      <c r="D130" s="236" t="s">
        <v>1126</v>
      </c>
      <c r="E130" s="171" t="s">
        <v>1109</v>
      </c>
      <c r="F130" s="238">
        <v>2020</v>
      </c>
      <c r="G130" s="238">
        <v>2022</v>
      </c>
      <c r="H130" s="237">
        <v>3579184</v>
      </c>
      <c r="I130" s="237">
        <v>0</v>
      </c>
      <c r="J130" s="237">
        <v>1800000</v>
      </c>
      <c r="K130" s="237">
        <v>450000</v>
      </c>
      <c r="L130" s="158">
        <v>0</v>
      </c>
      <c r="M130" s="144">
        <v>600000</v>
      </c>
      <c r="N130" s="144">
        <v>600000</v>
      </c>
      <c r="O130" s="144">
        <v>600000</v>
      </c>
      <c r="P130" s="233" t="s">
        <v>1160</v>
      </c>
    </row>
    <row r="131" spans="1:16" s="101" customFormat="1" ht="15.75">
      <c r="A131" s="200">
        <v>15</v>
      </c>
      <c r="B131" s="200" t="s">
        <v>66</v>
      </c>
      <c r="C131" s="233" t="s">
        <v>1127</v>
      </c>
      <c r="D131" s="236" t="s">
        <v>716</v>
      </c>
      <c r="E131" s="171" t="s">
        <v>1106</v>
      </c>
      <c r="F131" s="238">
        <v>2021</v>
      </c>
      <c r="G131" s="238">
        <v>2023</v>
      </c>
      <c r="H131" s="237">
        <v>2000000</v>
      </c>
      <c r="I131" s="237">
        <v>0</v>
      </c>
      <c r="J131" s="237">
        <v>0</v>
      </c>
      <c r="K131" s="237">
        <v>0</v>
      </c>
      <c r="L131" s="237">
        <v>0</v>
      </c>
      <c r="M131" s="237">
        <v>0</v>
      </c>
      <c r="N131" s="237">
        <v>0</v>
      </c>
      <c r="O131" s="237">
        <v>0</v>
      </c>
      <c r="P131" s="233" t="s">
        <v>1161</v>
      </c>
    </row>
    <row r="132" spans="1:16" s="101" customFormat="1" ht="31.5">
      <c r="A132" s="200">
        <v>16</v>
      </c>
      <c r="B132" s="200" t="s">
        <v>66</v>
      </c>
      <c r="C132" s="233" t="s">
        <v>1128</v>
      </c>
      <c r="D132" s="236" t="s">
        <v>1129</v>
      </c>
      <c r="E132" s="171" t="s">
        <v>1130</v>
      </c>
      <c r="F132" s="238">
        <v>2020</v>
      </c>
      <c r="G132" s="238">
        <v>2022</v>
      </c>
      <c r="H132" s="237">
        <v>1598821</v>
      </c>
      <c r="I132" s="237">
        <v>0</v>
      </c>
      <c r="J132" s="237">
        <v>415000</v>
      </c>
      <c r="K132" s="237">
        <v>415000</v>
      </c>
      <c r="L132" s="158">
        <v>0</v>
      </c>
      <c r="M132" s="144">
        <v>138333</v>
      </c>
      <c r="N132" s="144">
        <v>138333</v>
      </c>
      <c r="O132" s="144">
        <v>138333</v>
      </c>
      <c r="P132" s="233" t="s">
        <v>1160</v>
      </c>
    </row>
    <row r="133" spans="1:16" s="101" customFormat="1" ht="15.75">
      <c r="A133" s="158">
        <v>17</v>
      </c>
      <c r="B133" s="200" t="s">
        <v>66</v>
      </c>
      <c r="C133" s="233" t="s">
        <v>1131</v>
      </c>
      <c r="D133" s="236" t="s">
        <v>1132</v>
      </c>
      <c r="E133" s="171" t="s">
        <v>1118</v>
      </c>
      <c r="F133" s="238">
        <v>2021</v>
      </c>
      <c r="G133" s="238">
        <v>2021</v>
      </c>
      <c r="H133" s="237">
        <v>5000000</v>
      </c>
      <c r="I133" s="237">
        <v>0</v>
      </c>
      <c r="J133" s="237">
        <v>5000000</v>
      </c>
      <c r="K133" s="237">
        <v>0</v>
      </c>
      <c r="L133" s="237">
        <v>0</v>
      </c>
      <c r="M133" s="237">
        <v>0</v>
      </c>
      <c r="N133" s="237">
        <v>0</v>
      </c>
      <c r="O133" s="237">
        <v>0</v>
      </c>
      <c r="P133" s="233" t="s">
        <v>1161</v>
      </c>
    </row>
    <row r="134" spans="1:16" s="101" customFormat="1" ht="31.5">
      <c r="A134" s="200">
        <v>18</v>
      </c>
      <c r="B134" s="200" t="s">
        <v>66</v>
      </c>
      <c r="C134" s="233" t="s">
        <v>1133</v>
      </c>
      <c r="D134" s="233" t="s">
        <v>384</v>
      </c>
      <c r="E134" s="171" t="s">
        <v>1130</v>
      </c>
      <c r="F134" s="238">
        <v>2021</v>
      </c>
      <c r="G134" s="238">
        <v>2023</v>
      </c>
      <c r="H134" s="237">
        <v>5000000</v>
      </c>
      <c r="I134" s="237">
        <v>0</v>
      </c>
      <c r="J134" s="237">
        <v>0</v>
      </c>
      <c r="K134" s="237">
        <v>0</v>
      </c>
      <c r="L134" s="237">
        <v>0</v>
      </c>
      <c r="M134" s="237">
        <v>0</v>
      </c>
      <c r="N134" s="237">
        <v>0</v>
      </c>
      <c r="O134" s="237">
        <v>0</v>
      </c>
      <c r="P134" s="233" t="s">
        <v>1161</v>
      </c>
    </row>
    <row r="135" spans="1:16" s="101" customFormat="1" ht="47.25">
      <c r="A135" s="200">
        <v>19</v>
      </c>
      <c r="B135" s="200" t="s">
        <v>66</v>
      </c>
      <c r="C135" s="233" t="s">
        <v>1134</v>
      </c>
      <c r="D135" s="233" t="s">
        <v>1122</v>
      </c>
      <c r="E135" s="171" t="s">
        <v>1130</v>
      </c>
      <c r="F135" s="238">
        <v>2021</v>
      </c>
      <c r="G135" s="238">
        <v>2023</v>
      </c>
      <c r="H135" s="237">
        <v>5000000</v>
      </c>
      <c r="I135" s="237">
        <v>0</v>
      </c>
      <c r="J135" s="237">
        <v>0</v>
      </c>
      <c r="K135" s="237">
        <v>0</v>
      </c>
      <c r="L135" s="237">
        <v>0</v>
      </c>
      <c r="M135" s="237">
        <v>0</v>
      </c>
      <c r="N135" s="237">
        <v>0</v>
      </c>
      <c r="O135" s="237">
        <v>0</v>
      </c>
      <c r="P135" s="233" t="s">
        <v>1161</v>
      </c>
    </row>
    <row r="136" spans="1:16" s="101" customFormat="1" ht="15.75">
      <c r="A136" s="158">
        <v>20</v>
      </c>
      <c r="B136" s="200" t="s">
        <v>66</v>
      </c>
      <c r="C136" s="233" t="s">
        <v>1135</v>
      </c>
      <c r="D136" s="233" t="s">
        <v>688</v>
      </c>
      <c r="E136" s="171" t="s">
        <v>1106</v>
      </c>
      <c r="F136" s="238">
        <v>2021</v>
      </c>
      <c r="G136" s="238">
        <v>2023</v>
      </c>
      <c r="H136" s="237">
        <v>5000000</v>
      </c>
      <c r="I136" s="237">
        <v>0</v>
      </c>
      <c r="J136" s="237">
        <v>0</v>
      </c>
      <c r="K136" s="237">
        <v>0</v>
      </c>
      <c r="L136" s="237">
        <v>0</v>
      </c>
      <c r="M136" s="237">
        <v>0</v>
      </c>
      <c r="N136" s="237">
        <v>0</v>
      </c>
      <c r="O136" s="237">
        <v>0</v>
      </c>
      <c r="P136" s="233" t="s">
        <v>1161</v>
      </c>
    </row>
    <row r="137" spans="1:16" s="101" customFormat="1" ht="15.75">
      <c r="A137" s="200">
        <v>21</v>
      </c>
      <c r="B137" s="200" t="s">
        <v>66</v>
      </c>
      <c r="C137" s="233" t="s">
        <v>1136</v>
      </c>
      <c r="D137" s="233" t="s">
        <v>1120</v>
      </c>
      <c r="E137" s="171" t="s">
        <v>1106</v>
      </c>
      <c r="F137" s="238">
        <v>2021</v>
      </c>
      <c r="G137" s="238">
        <v>2023</v>
      </c>
      <c r="H137" s="237">
        <v>5000000</v>
      </c>
      <c r="I137" s="237">
        <v>0</v>
      </c>
      <c r="J137" s="237">
        <v>0</v>
      </c>
      <c r="K137" s="237">
        <v>0</v>
      </c>
      <c r="L137" s="237">
        <v>0</v>
      </c>
      <c r="M137" s="237">
        <v>0</v>
      </c>
      <c r="N137" s="237">
        <v>0</v>
      </c>
      <c r="O137" s="237">
        <v>0</v>
      </c>
      <c r="P137" s="233" t="s">
        <v>1161</v>
      </c>
    </row>
    <row r="138" spans="1:16" s="101" customFormat="1" ht="15.75">
      <c r="A138" s="200">
        <v>22</v>
      </c>
      <c r="B138" s="200" t="s">
        <v>66</v>
      </c>
      <c r="C138" s="233" t="s">
        <v>1137</v>
      </c>
      <c r="D138" s="233" t="s">
        <v>1122</v>
      </c>
      <c r="E138" s="171" t="s">
        <v>1106</v>
      </c>
      <c r="F138" s="238">
        <v>2021</v>
      </c>
      <c r="G138" s="238">
        <v>2023</v>
      </c>
      <c r="H138" s="237">
        <v>5000000</v>
      </c>
      <c r="I138" s="237">
        <v>0</v>
      </c>
      <c r="J138" s="237">
        <v>0</v>
      </c>
      <c r="K138" s="237">
        <v>0</v>
      </c>
      <c r="L138" s="237">
        <v>0</v>
      </c>
      <c r="M138" s="237">
        <v>0</v>
      </c>
      <c r="N138" s="237">
        <v>0</v>
      </c>
      <c r="O138" s="237">
        <v>0</v>
      </c>
      <c r="P138" s="233" t="s">
        <v>1161</v>
      </c>
    </row>
    <row r="139" spans="1:16" s="101" customFormat="1" ht="15.75">
      <c r="A139" s="158">
        <v>23</v>
      </c>
      <c r="B139" s="200" t="s">
        <v>25</v>
      </c>
      <c r="C139" s="233" t="s">
        <v>1138</v>
      </c>
      <c r="D139" s="238" t="s">
        <v>1132</v>
      </c>
      <c r="E139" s="171"/>
      <c r="F139" s="238">
        <v>2013</v>
      </c>
      <c r="G139" s="238">
        <v>2023</v>
      </c>
      <c r="H139" s="239">
        <v>30000000</v>
      </c>
      <c r="I139" s="239">
        <v>10728711</v>
      </c>
      <c r="J139" s="239">
        <v>5000000</v>
      </c>
      <c r="K139" s="239">
        <v>0</v>
      </c>
      <c r="L139" s="158">
        <v>0</v>
      </c>
      <c r="M139" s="144">
        <v>1666667</v>
      </c>
      <c r="N139" s="144">
        <v>1666667</v>
      </c>
      <c r="O139" s="144">
        <v>1666667</v>
      </c>
      <c r="P139" s="233" t="s">
        <v>1159</v>
      </c>
    </row>
    <row r="140" spans="1:16" s="101" customFormat="1" ht="15.75">
      <c r="A140" s="200">
        <v>24</v>
      </c>
      <c r="B140" s="200" t="s">
        <v>25</v>
      </c>
      <c r="C140" s="233" t="s">
        <v>1139</v>
      </c>
      <c r="D140" s="238" t="s">
        <v>1132</v>
      </c>
      <c r="E140" s="171" t="s">
        <v>1140</v>
      </c>
      <c r="F140" s="238">
        <v>2013</v>
      </c>
      <c r="G140" s="238">
        <v>2021</v>
      </c>
      <c r="H140" s="239">
        <v>500000</v>
      </c>
      <c r="I140" s="239">
        <v>205674</v>
      </c>
      <c r="J140" s="239">
        <v>20000</v>
      </c>
      <c r="K140" s="239">
        <v>0</v>
      </c>
      <c r="L140" s="158">
        <v>0</v>
      </c>
      <c r="M140" s="144">
        <v>6667</v>
      </c>
      <c r="N140" s="144">
        <v>6667</v>
      </c>
      <c r="O140" s="144">
        <v>6667</v>
      </c>
      <c r="P140" s="233" t="s">
        <v>1159</v>
      </c>
    </row>
    <row r="141" spans="1:16" s="101" customFormat="1" ht="15.75">
      <c r="A141" s="200">
        <v>25</v>
      </c>
      <c r="B141" s="200" t="s">
        <v>25</v>
      </c>
      <c r="C141" s="233" t="s">
        <v>1141</v>
      </c>
      <c r="D141" s="238" t="s">
        <v>199</v>
      </c>
      <c r="E141" s="171" t="s">
        <v>1142</v>
      </c>
      <c r="F141" s="238">
        <v>2013</v>
      </c>
      <c r="G141" s="238">
        <v>2021</v>
      </c>
      <c r="H141" s="239">
        <v>1500000</v>
      </c>
      <c r="I141" s="239">
        <v>1227147</v>
      </c>
      <c r="J141" s="239">
        <v>200000</v>
      </c>
      <c r="K141" s="237">
        <v>0</v>
      </c>
      <c r="L141" s="158">
        <v>0</v>
      </c>
      <c r="M141" s="144">
        <v>66667</v>
      </c>
      <c r="N141" s="144">
        <v>66667</v>
      </c>
      <c r="O141" s="144">
        <v>66667</v>
      </c>
      <c r="P141" s="233" t="s">
        <v>1159</v>
      </c>
    </row>
    <row r="142" spans="1:16" s="101" customFormat="1" ht="15.75">
      <c r="A142" s="158">
        <v>26</v>
      </c>
      <c r="B142" s="200" t="s">
        <v>25</v>
      </c>
      <c r="C142" s="233" t="s">
        <v>1143</v>
      </c>
      <c r="D142" s="238" t="s">
        <v>1129</v>
      </c>
      <c r="E142" s="171" t="s">
        <v>1144</v>
      </c>
      <c r="F142" s="238">
        <v>2011</v>
      </c>
      <c r="G142" s="238">
        <v>2023</v>
      </c>
      <c r="H142" s="239">
        <v>950000000</v>
      </c>
      <c r="I142" s="239">
        <v>886406586</v>
      </c>
      <c r="J142" s="239">
        <v>5500000</v>
      </c>
      <c r="K142" s="239">
        <v>5500000</v>
      </c>
      <c r="L142" s="144">
        <v>3473031</v>
      </c>
      <c r="M142" s="144">
        <v>675656</v>
      </c>
      <c r="N142" s="144">
        <v>675656</v>
      </c>
      <c r="O142" s="144">
        <v>675656</v>
      </c>
      <c r="P142" s="233" t="s">
        <v>1159</v>
      </c>
    </row>
    <row r="143" spans="1:16" s="101" customFormat="1" ht="15.75">
      <c r="A143" s="200">
        <v>27</v>
      </c>
      <c r="B143" s="200" t="s">
        <v>25</v>
      </c>
      <c r="C143" s="233" t="s">
        <v>1145</v>
      </c>
      <c r="D143" s="238" t="s">
        <v>716</v>
      </c>
      <c r="E143" s="171" t="s">
        <v>1146</v>
      </c>
      <c r="F143" s="238">
        <v>2021</v>
      </c>
      <c r="G143" s="238">
        <v>2027</v>
      </c>
      <c r="H143" s="239">
        <v>221000000</v>
      </c>
      <c r="I143" s="239">
        <v>0</v>
      </c>
      <c r="J143" s="239">
        <v>0</v>
      </c>
      <c r="K143" s="239">
        <v>0</v>
      </c>
      <c r="L143" s="158"/>
      <c r="M143" s="158"/>
      <c r="N143" s="158"/>
      <c r="O143" s="158"/>
      <c r="P143" s="233" t="s">
        <v>1161</v>
      </c>
    </row>
    <row r="144" spans="1:16" s="101" customFormat="1" ht="94.5">
      <c r="A144" s="200">
        <v>28</v>
      </c>
      <c r="B144" s="200" t="s">
        <v>25</v>
      </c>
      <c r="C144" s="233" t="s">
        <v>1147</v>
      </c>
      <c r="D144" s="238" t="s">
        <v>716</v>
      </c>
      <c r="E144" s="171" t="s">
        <v>1146</v>
      </c>
      <c r="F144" s="238">
        <v>2020</v>
      </c>
      <c r="G144" s="238">
        <v>2027</v>
      </c>
      <c r="H144" s="239">
        <v>375000000</v>
      </c>
      <c r="I144" s="239">
        <v>0</v>
      </c>
      <c r="J144" s="239">
        <v>0</v>
      </c>
      <c r="K144" s="239">
        <v>0</v>
      </c>
      <c r="L144" s="158">
        <v>0</v>
      </c>
      <c r="M144" s="158">
        <v>0</v>
      </c>
      <c r="N144" s="158">
        <v>0</v>
      </c>
      <c r="O144" s="158">
        <v>0</v>
      </c>
      <c r="P144" s="233" t="s">
        <v>1162</v>
      </c>
    </row>
    <row r="145" spans="1:16" s="101" customFormat="1" ht="15.75">
      <c r="A145" s="158">
        <v>29</v>
      </c>
      <c r="B145" s="200" t="s">
        <v>25</v>
      </c>
      <c r="C145" s="233" t="s">
        <v>1148</v>
      </c>
      <c r="D145" s="238" t="s">
        <v>688</v>
      </c>
      <c r="E145" s="171" t="s">
        <v>1146</v>
      </c>
      <c r="F145" s="238">
        <v>2021</v>
      </c>
      <c r="G145" s="238">
        <v>2027</v>
      </c>
      <c r="H145" s="239">
        <v>175000000</v>
      </c>
      <c r="I145" s="239">
        <v>0</v>
      </c>
      <c r="J145" s="239">
        <v>0</v>
      </c>
      <c r="K145" s="239">
        <v>0</v>
      </c>
      <c r="L145" s="158"/>
      <c r="M145" s="158"/>
      <c r="N145" s="158"/>
      <c r="O145" s="158"/>
      <c r="P145" s="233" t="s">
        <v>1158</v>
      </c>
    </row>
    <row r="146" spans="1:16" s="101" customFormat="1" ht="15.75">
      <c r="A146" s="200">
        <v>30</v>
      </c>
      <c r="B146" s="200" t="s">
        <v>25</v>
      </c>
      <c r="C146" s="233" t="s">
        <v>1149</v>
      </c>
      <c r="D146" s="238" t="s">
        <v>1129</v>
      </c>
      <c r="E146" s="171" t="s">
        <v>1150</v>
      </c>
      <c r="F146" s="238">
        <v>2020</v>
      </c>
      <c r="G146" s="238">
        <v>2023</v>
      </c>
      <c r="H146" s="239">
        <v>664304713</v>
      </c>
      <c r="I146" s="239">
        <v>1089197</v>
      </c>
      <c r="J146" s="239">
        <v>270000000</v>
      </c>
      <c r="K146" s="239">
        <v>270000000</v>
      </c>
      <c r="L146" s="158">
        <v>0</v>
      </c>
      <c r="M146" s="144">
        <v>90000000</v>
      </c>
      <c r="N146" s="144">
        <v>90000000</v>
      </c>
      <c r="O146" s="144">
        <v>90000000</v>
      </c>
      <c r="P146" s="233" t="s">
        <v>1163</v>
      </c>
    </row>
    <row r="147" spans="1:16" s="101" customFormat="1" ht="15.75">
      <c r="A147" s="200">
        <v>31</v>
      </c>
      <c r="B147" s="200" t="s">
        <v>25</v>
      </c>
      <c r="C147" s="236" t="s">
        <v>1151</v>
      </c>
      <c r="D147" s="238" t="s">
        <v>1132</v>
      </c>
      <c r="E147" s="171" t="s">
        <v>1152</v>
      </c>
      <c r="F147" s="238">
        <v>2021</v>
      </c>
      <c r="G147" s="238">
        <v>2021</v>
      </c>
      <c r="H147" s="239">
        <v>419315</v>
      </c>
      <c r="I147" s="239">
        <v>0</v>
      </c>
      <c r="J147" s="239">
        <v>318000</v>
      </c>
      <c r="K147" s="239">
        <v>318000</v>
      </c>
      <c r="L147" s="158">
        <v>0</v>
      </c>
      <c r="M147" s="144">
        <v>106000</v>
      </c>
      <c r="N147" s="144">
        <v>106000</v>
      </c>
      <c r="O147" s="144">
        <v>106000</v>
      </c>
      <c r="P147" s="233" t="s">
        <v>1163</v>
      </c>
    </row>
    <row r="148" spans="1:16" s="101" customFormat="1" ht="15.75">
      <c r="A148" s="158">
        <v>32</v>
      </c>
      <c r="B148" s="200" t="s">
        <v>25</v>
      </c>
      <c r="C148" s="233" t="s">
        <v>1153</v>
      </c>
      <c r="D148" s="238" t="s">
        <v>199</v>
      </c>
      <c r="E148" s="171" t="s">
        <v>1109</v>
      </c>
      <c r="F148" s="238">
        <v>2021</v>
      </c>
      <c r="G148" s="238">
        <v>2023</v>
      </c>
      <c r="H148" s="239">
        <v>3000000</v>
      </c>
      <c r="I148" s="239">
        <v>0</v>
      </c>
      <c r="J148" s="239">
        <v>0</v>
      </c>
      <c r="K148" s="239">
        <v>0</v>
      </c>
      <c r="L148" s="239">
        <v>0</v>
      </c>
      <c r="M148" s="239">
        <v>0</v>
      </c>
      <c r="N148" s="239">
        <v>0</v>
      </c>
      <c r="O148" s="239">
        <v>0</v>
      </c>
      <c r="P148" s="233" t="s">
        <v>1158</v>
      </c>
    </row>
    <row r="149" spans="1:16" s="101" customFormat="1" ht="15.75">
      <c r="A149" s="200">
        <v>33</v>
      </c>
      <c r="B149" s="200" t="s">
        <v>25</v>
      </c>
      <c r="C149" s="233" t="s">
        <v>1154</v>
      </c>
      <c r="D149" s="238" t="s">
        <v>199</v>
      </c>
      <c r="E149" s="171" t="s">
        <v>1109</v>
      </c>
      <c r="F149" s="238">
        <v>2021</v>
      </c>
      <c r="G149" s="238">
        <v>2023</v>
      </c>
      <c r="H149" s="239">
        <v>3000000</v>
      </c>
      <c r="I149" s="239">
        <v>0</v>
      </c>
      <c r="J149" s="239">
        <v>0</v>
      </c>
      <c r="K149" s="239">
        <v>0</v>
      </c>
      <c r="L149" s="239">
        <v>0</v>
      </c>
      <c r="M149" s="239">
        <v>0</v>
      </c>
      <c r="N149" s="239">
        <v>0</v>
      </c>
      <c r="O149" s="239">
        <v>0</v>
      </c>
      <c r="P149" s="233" t="s">
        <v>1158</v>
      </c>
    </row>
    <row r="150" spans="1:16" s="101" customFormat="1" ht="31.5">
      <c r="A150" s="200">
        <v>34</v>
      </c>
      <c r="B150" s="200" t="s">
        <v>25</v>
      </c>
      <c r="C150" s="233" t="s">
        <v>1155</v>
      </c>
      <c r="D150" s="238" t="s">
        <v>716</v>
      </c>
      <c r="E150" s="171" t="s">
        <v>1144</v>
      </c>
      <c r="F150" s="238">
        <v>2021</v>
      </c>
      <c r="G150" s="238">
        <v>2027</v>
      </c>
      <c r="H150" s="240">
        <v>3000000000</v>
      </c>
      <c r="I150" s="239">
        <v>1000</v>
      </c>
      <c r="J150" s="239">
        <v>1000</v>
      </c>
      <c r="K150" s="239">
        <v>0</v>
      </c>
      <c r="L150" s="239">
        <v>0</v>
      </c>
      <c r="M150" s="239">
        <v>0</v>
      </c>
      <c r="N150" s="239">
        <v>0</v>
      </c>
      <c r="O150" s="239">
        <v>0</v>
      </c>
      <c r="P150" s="233" t="s">
        <v>1158</v>
      </c>
    </row>
    <row r="151" spans="1:16" s="101" customFormat="1" ht="31.5" customHeight="1" thickBot="1">
      <c r="A151" s="158">
        <v>35</v>
      </c>
      <c r="B151" s="200" t="s">
        <v>25</v>
      </c>
      <c r="C151" s="233" t="s">
        <v>1156</v>
      </c>
      <c r="D151" s="238" t="s">
        <v>716</v>
      </c>
      <c r="E151" s="171" t="s">
        <v>1144</v>
      </c>
      <c r="F151" s="238">
        <v>2021</v>
      </c>
      <c r="G151" s="238">
        <v>2027</v>
      </c>
      <c r="H151" s="239">
        <v>3000000000</v>
      </c>
      <c r="I151" s="239">
        <v>1000000</v>
      </c>
      <c r="J151" s="239">
        <v>1000000</v>
      </c>
      <c r="K151" s="239">
        <v>0</v>
      </c>
      <c r="L151" s="239">
        <v>0</v>
      </c>
      <c r="M151" s="239">
        <v>0</v>
      </c>
      <c r="N151" s="239">
        <v>0</v>
      </c>
      <c r="O151" s="239">
        <v>0</v>
      </c>
      <c r="P151" s="233" t="s">
        <v>1158</v>
      </c>
    </row>
    <row r="152" spans="1:16" s="101" customFormat="1" ht="30" customHeight="1" thickBot="1">
      <c r="A152" s="668" t="s">
        <v>20</v>
      </c>
      <c r="B152" s="669"/>
      <c r="C152" s="669"/>
      <c r="D152" s="669"/>
      <c r="E152" s="669"/>
      <c r="F152" s="669"/>
      <c r="G152" s="670"/>
      <c r="H152" s="146">
        <f t="shared" ref="H152:O152" si="8">SUM(H117:H151)</f>
        <v>8538783167</v>
      </c>
      <c r="I152" s="146">
        <f t="shared" si="8"/>
        <v>901813757</v>
      </c>
      <c r="J152" s="146">
        <f t="shared" si="8"/>
        <v>301770814</v>
      </c>
      <c r="K152" s="146">
        <f t="shared" si="8"/>
        <v>279583000</v>
      </c>
      <c r="L152" s="146">
        <f t="shared" si="8"/>
        <v>3827275</v>
      </c>
      <c r="M152" s="146">
        <f t="shared" si="8"/>
        <v>94375242</v>
      </c>
      <c r="N152" s="146">
        <f t="shared" si="8"/>
        <v>94375242</v>
      </c>
      <c r="O152" s="146">
        <f t="shared" si="8"/>
        <v>94375242</v>
      </c>
      <c r="P152" s="118"/>
    </row>
    <row r="153" spans="1:16" s="9" customFormat="1" ht="15" customHeight="1" thickBot="1">
      <c r="A153" s="671"/>
      <c r="B153" s="672"/>
      <c r="C153" s="672"/>
      <c r="D153" s="672"/>
      <c r="E153" s="672"/>
      <c r="F153" s="672"/>
      <c r="G153" s="672"/>
      <c r="H153" s="672"/>
      <c r="I153" s="672"/>
      <c r="J153" s="672"/>
      <c r="K153" s="672"/>
      <c r="L153" s="672"/>
      <c r="M153" s="672"/>
      <c r="N153" s="672"/>
      <c r="O153" s="672"/>
      <c r="P153" s="673"/>
    </row>
    <row r="154" spans="1:16" ht="30" customHeight="1" thickBot="1">
      <c r="A154" s="687" t="s">
        <v>107</v>
      </c>
      <c r="B154" s="658"/>
      <c r="C154" s="658"/>
      <c r="D154" s="658"/>
      <c r="E154" s="658"/>
      <c r="F154" s="658"/>
      <c r="G154" s="658"/>
      <c r="H154" s="658"/>
      <c r="I154" s="658"/>
      <c r="J154" s="658"/>
      <c r="K154" s="658"/>
      <c r="L154" s="658"/>
      <c r="M154" s="653"/>
      <c r="N154" s="653"/>
      <c r="O154" s="653"/>
      <c r="P154" s="654"/>
    </row>
    <row r="155" spans="1:16" s="31" customFormat="1" ht="27.75" customHeight="1">
      <c r="A155" s="158">
        <v>1</v>
      </c>
      <c r="B155" s="245" t="s">
        <v>66</v>
      </c>
      <c r="C155" s="391" t="s">
        <v>194</v>
      </c>
      <c r="D155" s="392" t="s">
        <v>196</v>
      </c>
      <c r="E155" s="245" t="s">
        <v>53</v>
      </c>
      <c r="F155" s="245">
        <v>2020</v>
      </c>
      <c r="G155" s="245">
        <v>2020</v>
      </c>
      <c r="H155" s="210">
        <v>800000</v>
      </c>
      <c r="I155" s="210">
        <v>234832.22</v>
      </c>
      <c r="J155" s="210">
        <v>565167.78</v>
      </c>
      <c r="K155" s="210"/>
      <c r="L155" s="210">
        <v>141292</v>
      </c>
      <c r="M155" s="210">
        <v>141292</v>
      </c>
      <c r="N155" s="210">
        <v>141292</v>
      </c>
      <c r="O155" s="210">
        <v>141292</v>
      </c>
      <c r="P155" s="366"/>
    </row>
    <row r="156" spans="1:16" s="31" customFormat="1" ht="27.75" customHeight="1">
      <c r="A156" s="158">
        <v>2</v>
      </c>
      <c r="B156" s="245" t="s">
        <v>66</v>
      </c>
      <c r="C156" s="161" t="s">
        <v>109</v>
      </c>
      <c r="D156" s="165" t="s">
        <v>197</v>
      </c>
      <c r="E156" s="171" t="s">
        <v>130</v>
      </c>
      <c r="F156" s="171">
        <v>2011</v>
      </c>
      <c r="G156" s="158">
        <v>2021</v>
      </c>
      <c r="H156" s="144">
        <v>23128</v>
      </c>
      <c r="I156" s="166">
        <v>0</v>
      </c>
      <c r="J156" s="144">
        <v>23128</v>
      </c>
      <c r="K156" s="141"/>
      <c r="L156" s="141">
        <v>5782</v>
      </c>
      <c r="M156" s="141">
        <v>5782</v>
      </c>
      <c r="N156" s="141">
        <v>5782</v>
      </c>
      <c r="O156" s="141">
        <v>5782</v>
      </c>
      <c r="P156" s="140"/>
    </row>
    <row r="157" spans="1:16" s="31" customFormat="1" ht="27.75" customHeight="1">
      <c r="A157" s="158">
        <v>3</v>
      </c>
      <c r="B157" s="245" t="s">
        <v>66</v>
      </c>
      <c r="C157" s="161" t="s">
        <v>110</v>
      </c>
      <c r="D157" s="171" t="s">
        <v>197</v>
      </c>
      <c r="E157" s="171" t="s">
        <v>130</v>
      </c>
      <c r="F157" s="171">
        <v>2012</v>
      </c>
      <c r="G157" s="158">
        <v>2021</v>
      </c>
      <c r="H157" s="144">
        <v>28851</v>
      </c>
      <c r="I157" s="167">
        <v>0</v>
      </c>
      <c r="J157" s="144">
        <v>28851</v>
      </c>
      <c r="K157" s="141"/>
      <c r="L157" s="141">
        <v>7212</v>
      </c>
      <c r="M157" s="141">
        <v>7212</v>
      </c>
      <c r="N157" s="141">
        <v>7212</v>
      </c>
      <c r="O157" s="141">
        <v>7212</v>
      </c>
      <c r="P157" s="140"/>
    </row>
    <row r="158" spans="1:16" s="31" customFormat="1" ht="27.75" customHeight="1">
      <c r="A158" s="158">
        <v>4</v>
      </c>
      <c r="B158" s="245" t="s">
        <v>66</v>
      </c>
      <c r="C158" s="161" t="s">
        <v>111</v>
      </c>
      <c r="D158" s="171" t="s">
        <v>198</v>
      </c>
      <c r="E158" s="171" t="s">
        <v>130</v>
      </c>
      <c r="F158" s="171">
        <v>2017</v>
      </c>
      <c r="G158" s="158">
        <v>2021</v>
      </c>
      <c r="H158" s="144">
        <v>299720</v>
      </c>
      <c r="I158" s="167">
        <v>0</v>
      </c>
      <c r="J158" s="144">
        <v>299720</v>
      </c>
      <c r="K158" s="141"/>
      <c r="L158" s="141">
        <v>74930</v>
      </c>
      <c r="M158" s="141">
        <v>74930</v>
      </c>
      <c r="N158" s="141">
        <v>74930</v>
      </c>
      <c r="O158" s="141">
        <v>74930</v>
      </c>
      <c r="P158" s="140"/>
    </row>
    <row r="159" spans="1:16" s="31" customFormat="1" ht="27.75" customHeight="1">
      <c r="A159" s="158">
        <v>5</v>
      </c>
      <c r="B159" s="245" t="s">
        <v>66</v>
      </c>
      <c r="C159" s="161" t="s">
        <v>112</v>
      </c>
      <c r="D159" s="171" t="s">
        <v>196</v>
      </c>
      <c r="E159" s="171" t="s">
        <v>130</v>
      </c>
      <c r="F159" s="171">
        <v>2011</v>
      </c>
      <c r="G159" s="158">
        <v>2021</v>
      </c>
      <c r="H159" s="393">
        <v>21240</v>
      </c>
      <c r="I159" s="167">
        <v>0</v>
      </c>
      <c r="J159" s="144">
        <v>21240</v>
      </c>
      <c r="K159" s="141"/>
      <c r="L159" s="141">
        <v>5310</v>
      </c>
      <c r="M159" s="141">
        <v>5310</v>
      </c>
      <c r="N159" s="141">
        <v>5310</v>
      </c>
      <c r="O159" s="141">
        <v>5310</v>
      </c>
      <c r="P159" s="140"/>
    </row>
    <row r="160" spans="1:16" s="31" customFormat="1" ht="27.75" customHeight="1">
      <c r="A160" s="158">
        <v>6</v>
      </c>
      <c r="B160" s="245" t="s">
        <v>66</v>
      </c>
      <c r="C160" s="161" t="s">
        <v>195</v>
      </c>
      <c r="D160" s="171" t="s">
        <v>199</v>
      </c>
      <c r="E160" s="171" t="s">
        <v>130</v>
      </c>
      <c r="F160" s="171">
        <v>2021</v>
      </c>
      <c r="G160" s="158">
        <v>2023</v>
      </c>
      <c r="H160" s="144">
        <v>900000</v>
      </c>
      <c r="I160" s="167">
        <v>0</v>
      </c>
      <c r="J160" s="144">
        <v>250000</v>
      </c>
      <c r="K160" s="141"/>
      <c r="L160" s="141">
        <v>62500</v>
      </c>
      <c r="M160" s="141">
        <v>62500</v>
      </c>
      <c r="N160" s="141">
        <v>62500</v>
      </c>
      <c r="O160" s="141">
        <v>62500</v>
      </c>
      <c r="P160" s="140"/>
    </row>
    <row r="161" spans="1:16" s="31" customFormat="1" ht="27.75" customHeight="1" thickBot="1">
      <c r="A161" s="158">
        <v>7</v>
      </c>
      <c r="B161" s="171" t="s">
        <v>40</v>
      </c>
      <c r="C161" s="161" t="s">
        <v>113</v>
      </c>
      <c r="D161" s="171" t="s">
        <v>200</v>
      </c>
      <c r="E161" s="171" t="s">
        <v>130</v>
      </c>
      <c r="F161" s="171">
        <v>2017</v>
      </c>
      <c r="G161" s="158">
        <v>2020</v>
      </c>
      <c r="H161" s="144">
        <v>3698000</v>
      </c>
      <c r="I161" s="167"/>
      <c r="J161" s="144">
        <v>1000</v>
      </c>
      <c r="K161" s="141"/>
      <c r="L161" s="141">
        <v>250</v>
      </c>
      <c r="M161" s="141">
        <v>250</v>
      </c>
      <c r="N161" s="141">
        <v>250</v>
      </c>
      <c r="O161" s="141">
        <v>250</v>
      </c>
      <c r="P161" s="140"/>
    </row>
    <row r="162" spans="1:16" s="31" customFormat="1" ht="30" customHeight="1" thickBot="1">
      <c r="A162" s="668" t="s">
        <v>20</v>
      </c>
      <c r="B162" s="669"/>
      <c r="C162" s="669"/>
      <c r="D162" s="669"/>
      <c r="E162" s="669"/>
      <c r="F162" s="669"/>
      <c r="G162" s="670"/>
      <c r="H162" s="142">
        <f>SUM(H155:H161)</f>
        <v>5770939</v>
      </c>
      <c r="I162" s="142">
        <f>SUM(I155:I161)</f>
        <v>234832.22</v>
      </c>
      <c r="J162" s="142">
        <f>SUM(J155:J161)</f>
        <v>1189106.78</v>
      </c>
      <c r="K162" s="407">
        <v>0</v>
      </c>
      <c r="L162" s="407">
        <f>SUM(L155:L161)</f>
        <v>297276</v>
      </c>
      <c r="M162" s="142">
        <f>SUM(M155:M161)</f>
        <v>297276</v>
      </c>
      <c r="N162" s="142">
        <f>SUM(N155:N161)</f>
        <v>297276</v>
      </c>
      <c r="O162" s="142">
        <f>SUM(O155:O161)</f>
        <v>297276</v>
      </c>
      <c r="P162" s="118"/>
    </row>
    <row r="163" spans="1:16" ht="15" customHeight="1" thickBot="1">
      <c r="A163" s="671"/>
      <c r="B163" s="672"/>
      <c r="C163" s="672"/>
      <c r="D163" s="672"/>
      <c r="E163" s="672"/>
      <c r="F163" s="672"/>
      <c r="G163" s="672"/>
      <c r="H163" s="672"/>
      <c r="I163" s="672"/>
      <c r="J163" s="672"/>
      <c r="K163" s="675"/>
      <c r="L163" s="675"/>
      <c r="M163" s="672"/>
      <c r="N163" s="672"/>
      <c r="O163" s="672"/>
      <c r="P163" s="673"/>
    </row>
    <row r="164" spans="1:16" ht="30" customHeight="1" thickBot="1">
      <c r="A164" s="652" t="s">
        <v>124</v>
      </c>
      <c r="B164" s="653"/>
      <c r="C164" s="653"/>
      <c r="D164" s="653"/>
      <c r="E164" s="653"/>
      <c r="F164" s="653"/>
      <c r="G164" s="653"/>
      <c r="H164" s="653"/>
      <c r="I164" s="653"/>
      <c r="J164" s="653"/>
      <c r="K164" s="653"/>
      <c r="L164" s="653"/>
      <c r="M164" s="653"/>
      <c r="N164" s="653"/>
      <c r="O164" s="653"/>
      <c r="P164" s="654"/>
    </row>
    <row r="165" spans="1:16" s="104" customFormat="1" ht="47.25">
      <c r="A165" s="200">
        <v>1</v>
      </c>
      <c r="B165" s="200" t="s">
        <v>40</v>
      </c>
      <c r="C165" s="398" t="s">
        <v>201</v>
      </c>
      <c r="D165" s="543" t="s">
        <v>223</v>
      </c>
      <c r="E165" s="152" t="s">
        <v>117</v>
      </c>
      <c r="F165" s="316">
        <v>43501</v>
      </c>
      <c r="G165" s="151">
        <v>44381</v>
      </c>
      <c r="H165" s="514">
        <v>28463990.219999999</v>
      </c>
      <c r="I165" s="514">
        <v>4647427.2</v>
      </c>
      <c r="J165" s="514">
        <v>17078394.059999999</v>
      </c>
      <c r="K165" s="147"/>
      <c r="L165" s="159">
        <f t="shared" ref="L165:L186" si="9">J165/4</f>
        <v>4269598.5149999997</v>
      </c>
      <c r="M165" s="159">
        <f t="shared" ref="M165:M186" si="10">J165/4</f>
        <v>4269598.5149999997</v>
      </c>
      <c r="N165" s="159">
        <f t="shared" ref="N165:N186" si="11">J165/4</f>
        <v>4269598.5149999997</v>
      </c>
      <c r="O165" s="159">
        <f t="shared" ref="O165:O186" si="12">J165/4</f>
        <v>4269598.5149999997</v>
      </c>
      <c r="P165" s="399" t="s">
        <v>234</v>
      </c>
    </row>
    <row r="166" spans="1:16" s="104" customFormat="1" ht="94.5">
      <c r="A166" s="158">
        <v>2</v>
      </c>
      <c r="B166" s="200" t="s">
        <v>40</v>
      </c>
      <c r="C166" s="400" t="s">
        <v>202</v>
      </c>
      <c r="D166" s="245" t="s">
        <v>23</v>
      </c>
      <c r="E166" s="171" t="s">
        <v>230</v>
      </c>
      <c r="F166" s="245">
        <v>2017</v>
      </c>
      <c r="G166" s="158">
        <v>2021</v>
      </c>
      <c r="H166" s="514">
        <v>167000</v>
      </c>
      <c r="I166" s="514">
        <v>83500</v>
      </c>
      <c r="J166" s="514">
        <v>83500</v>
      </c>
      <c r="K166" s="141"/>
      <c r="L166" s="159">
        <f t="shared" si="9"/>
        <v>20875</v>
      </c>
      <c r="M166" s="159">
        <f t="shared" si="10"/>
        <v>20875</v>
      </c>
      <c r="N166" s="159">
        <f t="shared" si="11"/>
        <v>20875</v>
      </c>
      <c r="O166" s="159">
        <f t="shared" si="12"/>
        <v>20875</v>
      </c>
      <c r="P166" s="399" t="s">
        <v>235</v>
      </c>
    </row>
    <row r="167" spans="1:16" s="104" customFormat="1" ht="110.25">
      <c r="A167" s="158">
        <v>3</v>
      </c>
      <c r="B167" s="200" t="s">
        <v>40</v>
      </c>
      <c r="C167" s="400" t="s">
        <v>203</v>
      </c>
      <c r="D167" s="317" t="s">
        <v>30</v>
      </c>
      <c r="E167" s="171" t="s">
        <v>230</v>
      </c>
      <c r="F167" s="317">
        <v>2016</v>
      </c>
      <c r="G167" s="158">
        <v>2021</v>
      </c>
      <c r="H167" s="514">
        <v>101000</v>
      </c>
      <c r="I167" s="514">
        <v>0</v>
      </c>
      <c r="J167" s="514">
        <v>101000</v>
      </c>
      <c r="K167" s="141"/>
      <c r="L167" s="159">
        <f t="shared" si="9"/>
        <v>25250</v>
      </c>
      <c r="M167" s="159">
        <f t="shared" si="10"/>
        <v>25250</v>
      </c>
      <c r="N167" s="159">
        <f t="shared" si="11"/>
        <v>25250</v>
      </c>
      <c r="O167" s="159">
        <f t="shared" si="12"/>
        <v>25250</v>
      </c>
      <c r="P167" s="399" t="s">
        <v>236</v>
      </c>
    </row>
    <row r="168" spans="1:16" s="104" customFormat="1" ht="47.25">
      <c r="A168" s="200">
        <v>4</v>
      </c>
      <c r="B168" s="200" t="s">
        <v>40</v>
      </c>
      <c r="C168" s="400" t="s">
        <v>204</v>
      </c>
      <c r="D168" s="317" t="s">
        <v>30</v>
      </c>
      <c r="E168" s="171" t="s">
        <v>231</v>
      </c>
      <c r="F168" s="317">
        <v>2017</v>
      </c>
      <c r="G168" s="158">
        <v>2021</v>
      </c>
      <c r="H168" s="514">
        <v>4097633.26</v>
      </c>
      <c r="I168" s="514">
        <v>0</v>
      </c>
      <c r="J168" s="514">
        <v>0</v>
      </c>
      <c r="K168" s="141"/>
      <c r="L168" s="159">
        <f t="shared" si="9"/>
        <v>0</v>
      </c>
      <c r="M168" s="159">
        <f t="shared" si="10"/>
        <v>0</v>
      </c>
      <c r="N168" s="159">
        <f t="shared" si="11"/>
        <v>0</v>
      </c>
      <c r="O168" s="159">
        <f t="shared" si="12"/>
        <v>0</v>
      </c>
      <c r="P168" s="399" t="s">
        <v>237</v>
      </c>
    </row>
    <row r="169" spans="1:16" s="104" customFormat="1" ht="31.5">
      <c r="A169" s="158">
        <v>5</v>
      </c>
      <c r="B169" s="200" t="s">
        <v>40</v>
      </c>
      <c r="C169" s="400" t="s">
        <v>205</v>
      </c>
      <c r="D169" s="317" t="s">
        <v>30</v>
      </c>
      <c r="E169" s="171" t="s">
        <v>231</v>
      </c>
      <c r="F169" s="318">
        <v>43231</v>
      </c>
      <c r="G169" s="156">
        <v>44562</v>
      </c>
      <c r="H169" s="514">
        <v>69973261.609999999</v>
      </c>
      <c r="I169" s="514">
        <v>32587616.789999999</v>
      </c>
      <c r="J169" s="514">
        <v>0</v>
      </c>
      <c r="K169" s="141"/>
      <c r="L169" s="159">
        <f t="shared" si="9"/>
        <v>0</v>
      </c>
      <c r="M169" s="159">
        <f t="shared" si="10"/>
        <v>0</v>
      </c>
      <c r="N169" s="159">
        <f t="shared" si="11"/>
        <v>0</v>
      </c>
      <c r="O169" s="159">
        <f t="shared" si="12"/>
        <v>0</v>
      </c>
      <c r="P169" s="399" t="s">
        <v>234</v>
      </c>
    </row>
    <row r="170" spans="1:16" s="104" customFormat="1" ht="47.25">
      <c r="A170" s="158">
        <v>6</v>
      </c>
      <c r="B170" s="200" t="s">
        <v>40</v>
      </c>
      <c r="C170" s="400" t="s">
        <v>206</v>
      </c>
      <c r="D170" s="317" t="s">
        <v>48</v>
      </c>
      <c r="E170" s="171" t="s">
        <v>231</v>
      </c>
      <c r="F170" s="245">
        <v>2018</v>
      </c>
      <c r="G170" s="158">
        <v>2021</v>
      </c>
      <c r="H170" s="514" t="s">
        <v>233</v>
      </c>
      <c r="I170" s="514">
        <v>0</v>
      </c>
      <c r="J170" s="514">
        <v>0</v>
      </c>
      <c r="K170" s="141"/>
      <c r="L170" s="159">
        <f t="shared" si="9"/>
        <v>0</v>
      </c>
      <c r="M170" s="159">
        <f t="shared" si="10"/>
        <v>0</v>
      </c>
      <c r="N170" s="159">
        <f t="shared" si="11"/>
        <v>0</v>
      </c>
      <c r="O170" s="159">
        <f t="shared" si="12"/>
        <v>0</v>
      </c>
      <c r="P170" s="399" t="s">
        <v>238</v>
      </c>
    </row>
    <row r="171" spans="1:16" s="104" customFormat="1" ht="31.5">
      <c r="A171" s="200">
        <v>7</v>
      </c>
      <c r="B171" s="200" t="s">
        <v>40</v>
      </c>
      <c r="C171" s="400" t="s">
        <v>207</v>
      </c>
      <c r="D171" s="317" t="s">
        <v>23</v>
      </c>
      <c r="E171" s="171" t="s">
        <v>231</v>
      </c>
      <c r="F171" s="319">
        <v>43304</v>
      </c>
      <c r="G171" s="156">
        <v>44561</v>
      </c>
      <c r="H171" s="514">
        <v>6011852.6699999999</v>
      </c>
      <c r="I171" s="514">
        <v>5767496.1200000001</v>
      </c>
      <c r="J171" s="514">
        <v>244356</v>
      </c>
      <c r="K171" s="141"/>
      <c r="L171" s="159">
        <f t="shared" si="9"/>
        <v>61089</v>
      </c>
      <c r="M171" s="159">
        <f t="shared" si="10"/>
        <v>61089</v>
      </c>
      <c r="N171" s="159">
        <f t="shared" si="11"/>
        <v>61089</v>
      </c>
      <c r="O171" s="159">
        <f t="shared" si="12"/>
        <v>61089</v>
      </c>
      <c r="P171" s="399" t="s">
        <v>239</v>
      </c>
    </row>
    <row r="172" spans="1:16" s="104" customFormat="1" ht="63">
      <c r="A172" s="158">
        <v>8</v>
      </c>
      <c r="B172" s="200" t="s">
        <v>40</v>
      </c>
      <c r="C172" s="400" t="s">
        <v>208</v>
      </c>
      <c r="D172" s="245" t="s">
        <v>224</v>
      </c>
      <c r="E172" s="171" t="s">
        <v>230</v>
      </c>
      <c r="F172" s="319">
        <v>43896</v>
      </c>
      <c r="G172" s="156">
        <v>44561</v>
      </c>
      <c r="H172" s="514">
        <v>2662889.7200000002</v>
      </c>
      <c r="I172" s="514">
        <v>526400</v>
      </c>
      <c r="J172" s="514">
        <v>2136489.7200000002</v>
      </c>
      <c r="K172" s="141"/>
      <c r="L172" s="159">
        <f t="shared" si="9"/>
        <v>534122.43000000005</v>
      </c>
      <c r="M172" s="159">
        <f t="shared" si="10"/>
        <v>534122.43000000005</v>
      </c>
      <c r="N172" s="159">
        <f t="shared" si="11"/>
        <v>534122.43000000005</v>
      </c>
      <c r="O172" s="159">
        <f t="shared" si="12"/>
        <v>534122.43000000005</v>
      </c>
      <c r="P172" s="399" t="s">
        <v>240</v>
      </c>
    </row>
    <row r="173" spans="1:16" s="104" customFormat="1" ht="31.5">
      <c r="A173" s="158">
        <v>9</v>
      </c>
      <c r="B173" s="200" t="s">
        <v>40</v>
      </c>
      <c r="C173" s="400" t="s">
        <v>209</v>
      </c>
      <c r="D173" s="317" t="s">
        <v>23</v>
      </c>
      <c r="E173" s="171" t="s">
        <v>230</v>
      </c>
      <c r="F173" s="246" t="s">
        <v>232</v>
      </c>
      <c r="G173" s="156">
        <v>44545</v>
      </c>
      <c r="H173" s="514">
        <v>195750</v>
      </c>
      <c r="I173" s="514">
        <v>97875</v>
      </c>
      <c r="J173" s="514">
        <v>0</v>
      </c>
      <c r="K173" s="141"/>
      <c r="L173" s="159">
        <f t="shared" si="9"/>
        <v>0</v>
      </c>
      <c r="M173" s="159">
        <f t="shared" si="10"/>
        <v>0</v>
      </c>
      <c r="N173" s="159">
        <f t="shared" si="11"/>
        <v>0</v>
      </c>
      <c r="O173" s="159">
        <f t="shared" si="12"/>
        <v>0</v>
      </c>
      <c r="P173" s="399" t="s">
        <v>241</v>
      </c>
    </row>
    <row r="174" spans="1:16" s="104" customFormat="1" ht="47.25">
      <c r="A174" s="200">
        <v>10</v>
      </c>
      <c r="B174" s="200" t="s">
        <v>40</v>
      </c>
      <c r="C174" s="400" t="s">
        <v>210</v>
      </c>
      <c r="D174" s="317" t="s">
        <v>23</v>
      </c>
      <c r="E174" s="171" t="s">
        <v>230</v>
      </c>
      <c r="F174" s="246">
        <v>42906</v>
      </c>
      <c r="G174" s="156">
        <v>44561</v>
      </c>
      <c r="H174" s="514">
        <v>64000</v>
      </c>
      <c r="I174" s="514">
        <v>32000</v>
      </c>
      <c r="J174" s="514">
        <v>0</v>
      </c>
      <c r="K174" s="141"/>
      <c r="L174" s="159">
        <f t="shared" si="9"/>
        <v>0</v>
      </c>
      <c r="M174" s="159">
        <f t="shared" si="10"/>
        <v>0</v>
      </c>
      <c r="N174" s="159">
        <f t="shared" si="11"/>
        <v>0</v>
      </c>
      <c r="O174" s="159">
        <f t="shared" si="12"/>
        <v>0</v>
      </c>
      <c r="P174" s="399" t="s">
        <v>242</v>
      </c>
    </row>
    <row r="175" spans="1:16" s="104" customFormat="1" ht="157.5">
      <c r="A175" s="158">
        <v>11</v>
      </c>
      <c r="B175" s="200" t="s">
        <v>40</v>
      </c>
      <c r="C175" s="400" t="s">
        <v>211</v>
      </c>
      <c r="D175" s="245" t="s">
        <v>225</v>
      </c>
      <c r="E175" s="171" t="s">
        <v>230</v>
      </c>
      <c r="F175" s="246">
        <v>43388</v>
      </c>
      <c r="G175" s="156">
        <v>44542</v>
      </c>
      <c r="H175" s="514">
        <v>162104.60999999999</v>
      </c>
      <c r="I175" s="514">
        <v>67412.84</v>
      </c>
      <c r="J175" s="514">
        <v>58283.22</v>
      </c>
      <c r="K175" s="141"/>
      <c r="L175" s="159">
        <f t="shared" si="9"/>
        <v>14570.805</v>
      </c>
      <c r="M175" s="159">
        <f t="shared" si="10"/>
        <v>14570.805</v>
      </c>
      <c r="N175" s="159">
        <f t="shared" si="11"/>
        <v>14570.805</v>
      </c>
      <c r="O175" s="159">
        <f t="shared" si="12"/>
        <v>14570.805</v>
      </c>
      <c r="P175" s="399" t="s">
        <v>243</v>
      </c>
    </row>
    <row r="176" spans="1:16" s="104" customFormat="1" ht="78.75">
      <c r="A176" s="158">
        <v>12</v>
      </c>
      <c r="B176" s="200" t="s">
        <v>40</v>
      </c>
      <c r="C176" s="400" t="s">
        <v>212</v>
      </c>
      <c r="D176" s="245" t="s">
        <v>226</v>
      </c>
      <c r="E176" s="171" t="s">
        <v>231</v>
      </c>
      <c r="F176" s="246">
        <v>44266</v>
      </c>
      <c r="G176" s="156">
        <v>44450</v>
      </c>
      <c r="H176" s="514">
        <v>215114</v>
      </c>
      <c r="I176" s="514">
        <v>0</v>
      </c>
      <c r="J176" s="514">
        <v>0</v>
      </c>
      <c r="K176" s="141"/>
      <c r="L176" s="159">
        <f t="shared" si="9"/>
        <v>0</v>
      </c>
      <c r="M176" s="159">
        <f t="shared" si="10"/>
        <v>0</v>
      </c>
      <c r="N176" s="159">
        <f t="shared" si="11"/>
        <v>0</v>
      </c>
      <c r="O176" s="159">
        <f t="shared" si="12"/>
        <v>0</v>
      </c>
      <c r="P176" s="399" t="s">
        <v>244</v>
      </c>
    </row>
    <row r="177" spans="1:16" s="104" customFormat="1" ht="47.25">
      <c r="A177" s="200">
        <v>13</v>
      </c>
      <c r="B177" s="200" t="s">
        <v>40</v>
      </c>
      <c r="C177" s="400" t="s">
        <v>213</v>
      </c>
      <c r="D177" s="317" t="s">
        <v>227</v>
      </c>
      <c r="E177" s="171" t="s">
        <v>231</v>
      </c>
      <c r="F177" s="246">
        <v>43925</v>
      </c>
      <c r="G177" s="156">
        <v>44537</v>
      </c>
      <c r="H177" s="514">
        <v>14952005</v>
      </c>
      <c r="I177" s="514">
        <v>14037816</v>
      </c>
      <c r="J177" s="514">
        <v>998936</v>
      </c>
      <c r="K177" s="141"/>
      <c r="L177" s="159">
        <f t="shared" si="9"/>
        <v>249734</v>
      </c>
      <c r="M177" s="159">
        <f t="shared" si="10"/>
        <v>249734</v>
      </c>
      <c r="N177" s="159">
        <f t="shared" si="11"/>
        <v>249734</v>
      </c>
      <c r="O177" s="159">
        <f t="shared" si="12"/>
        <v>249734</v>
      </c>
      <c r="P177" s="399" t="s">
        <v>245</v>
      </c>
    </row>
    <row r="178" spans="1:16" s="104" customFormat="1" ht="63">
      <c r="A178" s="158">
        <v>14</v>
      </c>
      <c r="B178" s="200" t="s">
        <v>40</v>
      </c>
      <c r="C178" s="401" t="s">
        <v>214</v>
      </c>
      <c r="D178" s="317" t="s">
        <v>227</v>
      </c>
      <c r="E178" s="171" t="s">
        <v>231</v>
      </c>
      <c r="F178" s="246">
        <v>44112</v>
      </c>
      <c r="G178" s="156">
        <v>44538</v>
      </c>
      <c r="H178" s="514">
        <v>9721006</v>
      </c>
      <c r="I178" s="514">
        <v>6449365</v>
      </c>
      <c r="J178" s="514">
        <v>3271641</v>
      </c>
      <c r="K178" s="141"/>
      <c r="L178" s="159">
        <f t="shared" si="9"/>
        <v>817910.25</v>
      </c>
      <c r="M178" s="159">
        <f t="shared" si="10"/>
        <v>817910.25</v>
      </c>
      <c r="N178" s="159">
        <f t="shared" si="11"/>
        <v>817910.25</v>
      </c>
      <c r="O178" s="159">
        <f t="shared" si="12"/>
        <v>817910.25</v>
      </c>
      <c r="P178" s="399" t="s">
        <v>246</v>
      </c>
    </row>
    <row r="179" spans="1:16" s="104" customFormat="1" ht="126">
      <c r="A179" s="158">
        <v>15</v>
      </c>
      <c r="B179" s="200" t="s">
        <v>40</v>
      </c>
      <c r="C179" s="401" t="s">
        <v>215</v>
      </c>
      <c r="D179" s="246" t="s">
        <v>228</v>
      </c>
      <c r="E179" s="171" t="s">
        <v>231</v>
      </c>
      <c r="F179" s="246">
        <v>44054</v>
      </c>
      <c r="G179" s="156">
        <v>44557</v>
      </c>
      <c r="H179" s="514">
        <v>6860869.5199999996</v>
      </c>
      <c r="I179" s="514">
        <v>1997713.93</v>
      </c>
      <c r="J179" s="514">
        <v>4325197.07</v>
      </c>
      <c r="K179" s="141"/>
      <c r="L179" s="159">
        <f t="shared" si="9"/>
        <v>1081299.2675000001</v>
      </c>
      <c r="M179" s="159">
        <f t="shared" si="10"/>
        <v>1081299.2675000001</v>
      </c>
      <c r="N179" s="159">
        <f t="shared" si="11"/>
        <v>1081299.2675000001</v>
      </c>
      <c r="O179" s="159">
        <f t="shared" si="12"/>
        <v>1081299.2675000001</v>
      </c>
      <c r="P179" s="399" t="s">
        <v>247</v>
      </c>
    </row>
    <row r="180" spans="1:16" s="104" customFormat="1" ht="63">
      <c r="A180" s="200">
        <v>16</v>
      </c>
      <c r="B180" s="200" t="s">
        <v>40</v>
      </c>
      <c r="C180" s="401" t="s">
        <v>216</v>
      </c>
      <c r="D180" s="246" t="s">
        <v>229</v>
      </c>
      <c r="E180" s="171" t="s">
        <v>231</v>
      </c>
      <c r="F180" s="246">
        <v>44216</v>
      </c>
      <c r="G180" s="156">
        <v>44562</v>
      </c>
      <c r="H180" s="514">
        <f>433114*0.33</f>
        <v>142927.62</v>
      </c>
      <c r="I180" s="514">
        <v>0</v>
      </c>
      <c r="J180" s="514">
        <v>0</v>
      </c>
      <c r="K180" s="141"/>
      <c r="L180" s="159">
        <f t="shared" si="9"/>
        <v>0</v>
      </c>
      <c r="M180" s="159">
        <f t="shared" si="10"/>
        <v>0</v>
      </c>
      <c r="N180" s="159">
        <f t="shared" si="11"/>
        <v>0</v>
      </c>
      <c r="O180" s="159">
        <f t="shared" si="12"/>
        <v>0</v>
      </c>
      <c r="P180" s="399" t="s">
        <v>248</v>
      </c>
    </row>
    <row r="181" spans="1:16" s="104" customFormat="1" ht="63">
      <c r="A181" s="158">
        <v>17</v>
      </c>
      <c r="B181" s="200" t="s">
        <v>40</v>
      </c>
      <c r="C181" s="401" t="s">
        <v>217</v>
      </c>
      <c r="D181" s="317" t="s">
        <v>23</v>
      </c>
      <c r="E181" s="171" t="s">
        <v>231</v>
      </c>
      <c r="F181" s="317">
        <v>2020</v>
      </c>
      <c r="G181" s="158">
        <v>2021</v>
      </c>
      <c r="H181" s="514">
        <v>1372000</v>
      </c>
      <c r="I181" s="514">
        <v>40000</v>
      </c>
      <c r="J181" s="514">
        <v>0</v>
      </c>
      <c r="K181" s="147"/>
      <c r="L181" s="159">
        <f t="shared" si="9"/>
        <v>0</v>
      </c>
      <c r="M181" s="159">
        <f t="shared" si="10"/>
        <v>0</v>
      </c>
      <c r="N181" s="159">
        <f t="shared" si="11"/>
        <v>0</v>
      </c>
      <c r="O181" s="159">
        <f t="shared" si="12"/>
        <v>0</v>
      </c>
      <c r="P181" s="399" t="s">
        <v>249</v>
      </c>
    </row>
    <row r="182" spans="1:16" s="104" customFormat="1" ht="31.5">
      <c r="A182" s="158">
        <v>18</v>
      </c>
      <c r="B182" s="200" t="s">
        <v>40</v>
      </c>
      <c r="C182" s="401" t="s">
        <v>218</v>
      </c>
      <c r="D182" s="317" t="s">
        <v>23</v>
      </c>
      <c r="E182" s="171" t="s">
        <v>231</v>
      </c>
      <c r="F182" s="317">
        <v>2021</v>
      </c>
      <c r="G182" s="158">
        <v>3</v>
      </c>
      <c r="H182" s="514">
        <v>15684679.369999999</v>
      </c>
      <c r="I182" s="514">
        <v>0</v>
      </c>
      <c r="J182" s="514">
        <v>0</v>
      </c>
      <c r="K182" s="141"/>
      <c r="L182" s="159">
        <f t="shared" si="9"/>
        <v>0</v>
      </c>
      <c r="M182" s="159">
        <f t="shared" si="10"/>
        <v>0</v>
      </c>
      <c r="N182" s="159">
        <f t="shared" si="11"/>
        <v>0</v>
      </c>
      <c r="O182" s="159">
        <f t="shared" si="12"/>
        <v>0</v>
      </c>
      <c r="P182" s="399" t="s">
        <v>250</v>
      </c>
    </row>
    <row r="183" spans="1:16" s="104" customFormat="1" ht="409.5">
      <c r="A183" s="200">
        <v>19</v>
      </c>
      <c r="B183" s="200" t="s">
        <v>40</v>
      </c>
      <c r="C183" s="401" t="s">
        <v>219</v>
      </c>
      <c r="D183" s="317" t="s">
        <v>23</v>
      </c>
      <c r="E183" s="171" t="s">
        <v>117</v>
      </c>
      <c r="F183" s="317">
        <v>2019</v>
      </c>
      <c r="G183" s="158">
        <v>2021</v>
      </c>
      <c r="H183" s="514">
        <v>5299149.0525000002</v>
      </c>
      <c r="I183" s="514">
        <v>2960155.77</v>
      </c>
      <c r="J183" s="514">
        <f>H183-I183</f>
        <v>2338993.2825000002</v>
      </c>
      <c r="K183" s="141"/>
      <c r="L183" s="159">
        <f t="shared" si="9"/>
        <v>584748.32062500005</v>
      </c>
      <c r="M183" s="159">
        <f t="shared" si="10"/>
        <v>584748.32062500005</v>
      </c>
      <c r="N183" s="159">
        <f t="shared" si="11"/>
        <v>584748.32062500005</v>
      </c>
      <c r="O183" s="159">
        <f t="shared" si="12"/>
        <v>584748.32062500005</v>
      </c>
      <c r="P183" s="399" t="s">
        <v>251</v>
      </c>
    </row>
    <row r="184" spans="1:16" s="104" customFormat="1" ht="31.5">
      <c r="A184" s="158">
        <v>20</v>
      </c>
      <c r="B184" s="200" t="s">
        <v>40</v>
      </c>
      <c r="C184" s="401" t="s">
        <v>220</v>
      </c>
      <c r="D184" s="317" t="s">
        <v>23</v>
      </c>
      <c r="E184" s="171" t="s">
        <v>231</v>
      </c>
      <c r="F184" s="317">
        <v>2020</v>
      </c>
      <c r="G184" s="158">
        <v>2021</v>
      </c>
      <c r="H184" s="514">
        <v>1834182</v>
      </c>
      <c r="I184" s="514">
        <v>0</v>
      </c>
      <c r="J184" s="514">
        <v>0</v>
      </c>
      <c r="K184" s="141"/>
      <c r="L184" s="159">
        <f t="shared" si="9"/>
        <v>0</v>
      </c>
      <c r="M184" s="159">
        <f t="shared" si="10"/>
        <v>0</v>
      </c>
      <c r="N184" s="159">
        <f t="shared" si="11"/>
        <v>0</v>
      </c>
      <c r="O184" s="159">
        <f t="shared" si="12"/>
        <v>0</v>
      </c>
      <c r="P184" s="399" t="s">
        <v>252</v>
      </c>
    </row>
    <row r="185" spans="1:16" s="104" customFormat="1" ht="47.25">
      <c r="A185" s="158">
        <v>21</v>
      </c>
      <c r="B185" s="200" t="s">
        <v>40</v>
      </c>
      <c r="C185" s="401" t="s">
        <v>221</v>
      </c>
      <c r="D185" s="317" t="s">
        <v>23</v>
      </c>
      <c r="E185" s="171" t="s">
        <v>231</v>
      </c>
      <c r="F185" s="317">
        <v>2020</v>
      </c>
      <c r="G185" s="158">
        <v>2021</v>
      </c>
      <c r="H185" s="514">
        <v>1600000</v>
      </c>
      <c r="I185" s="514">
        <v>0</v>
      </c>
      <c r="J185" s="514">
        <v>0</v>
      </c>
      <c r="K185" s="141"/>
      <c r="L185" s="159">
        <f t="shared" si="9"/>
        <v>0</v>
      </c>
      <c r="M185" s="159">
        <f t="shared" si="10"/>
        <v>0</v>
      </c>
      <c r="N185" s="159">
        <f t="shared" si="11"/>
        <v>0</v>
      </c>
      <c r="O185" s="159">
        <f t="shared" si="12"/>
        <v>0</v>
      </c>
      <c r="P185" s="399" t="s">
        <v>253</v>
      </c>
    </row>
    <row r="186" spans="1:16" s="104" customFormat="1" ht="48" thickBot="1">
      <c r="A186" s="200">
        <v>22</v>
      </c>
      <c r="B186" s="200" t="s">
        <v>40</v>
      </c>
      <c r="C186" s="401" t="s">
        <v>222</v>
      </c>
      <c r="D186" s="317" t="s">
        <v>23</v>
      </c>
      <c r="E186" s="171" t="s">
        <v>231</v>
      </c>
      <c r="F186" s="317">
        <v>2020</v>
      </c>
      <c r="G186" s="158">
        <v>2021</v>
      </c>
      <c r="H186" s="514">
        <v>2067052.11</v>
      </c>
      <c r="I186" s="514">
        <v>0</v>
      </c>
      <c r="J186" s="514">
        <v>0</v>
      </c>
      <c r="K186" s="141"/>
      <c r="L186" s="159">
        <f t="shared" si="9"/>
        <v>0</v>
      </c>
      <c r="M186" s="159">
        <f t="shared" si="10"/>
        <v>0</v>
      </c>
      <c r="N186" s="159">
        <f t="shared" si="11"/>
        <v>0</v>
      </c>
      <c r="O186" s="159">
        <f t="shared" si="12"/>
        <v>0</v>
      </c>
      <c r="P186" s="399" t="s">
        <v>254</v>
      </c>
    </row>
    <row r="187" spans="1:16" s="111" customFormat="1" ht="30" customHeight="1">
      <c r="A187" s="708" t="s">
        <v>20</v>
      </c>
      <c r="B187" s="709"/>
      <c r="C187" s="709"/>
      <c r="D187" s="709"/>
      <c r="E187" s="709"/>
      <c r="F187" s="709"/>
      <c r="G187" s="710"/>
      <c r="H187" s="544">
        <f t="shared" ref="H187:O187" si="13">SUM(H165:H186)</f>
        <v>171648466.76250005</v>
      </c>
      <c r="I187" s="544">
        <f t="shared" si="13"/>
        <v>69294778.650000006</v>
      </c>
      <c r="J187" s="544">
        <f t="shared" si="13"/>
        <v>30636790.352499995</v>
      </c>
      <c r="K187" s="544">
        <f t="shared" si="13"/>
        <v>0</v>
      </c>
      <c r="L187" s="544">
        <f t="shared" si="13"/>
        <v>7659197.5881249988</v>
      </c>
      <c r="M187" s="544">
        <f t="shared" si="13"/>
        <v>7659197.5881249988</v>
      </c>
      <c r="N187" s="544">
        <f t="shared" si="13"/>
        <v>7659197.5881249988</v>
      </c>
      <c r="O187" s="544">
        <f t="shared" si="13"/>
        <v>7659197.5881249988</v>
      </c>
      <c r="P187" s="498"/>
    </row>
    <row r="188" spans="1:16" ht="20.25" customHeight="1">
      <c r="A188" s="715"/>
      <c r="B188" s="715"/>
      <c r="C188" s="715"/>
      <c r="D188" s="715"/>
      <c r="E188" s="715"/>
      <c r="F188" s="715"/>
      <c r="G188" s="715"/>
      <c r="H188" s="715"/>
      <c r="I188" s="715"/>
      <c r="J188" s="715"/>
      <c r="K188" s="715"/>
      <c r="L188" s="715"/>
      <c r="M188" s="715"/>
      <c r="N188" s="715"/>
      <c r="O188" s="715"/>
      <c r="P188" s="715"/>
    </row>
    <row r="189" spans="1:16" ht="20.25" customHeight="1">
      <c r="A189" s="680" t="s">
        <v>1880</v>
      </c>
      <c r="B189" s="680"/>
      <c r="C189" s="680"/>
      <c r="D189" s="680"/>
      <c r="E189" s="680"/>
      <c r="F189" s="680"/>
      <c r="G189" s="680"/>
      <c r="H189" s="680"/>
      <c r="I189" s="680"/>
      <c r="J189" s="680"/>
      <c r="K189" s="680"/>
      <c r="L189" s="680"/>
      <c r="M189" s="680"/>
      <c r="N189" s="680"/>
      <c r="O189" s="680"/>
      <c r="P189" s="680"/>
    </row>
    <row r="190" spans="1:16" ht="36.75" customHeight="1">
      <c r="A190" s="259">
        <v>1</v>
      </c>
      <c r="B190" s="259" t="s">
        <v>40</v>
      </c>
      <c r="C190" s="229" t="str">
        <f>UPPER("ÜÇ KATLI BÜYÜK İSTANBUL TÜNELİ")</f>
        <v>ÜÇ KATLI BÜYÜK İSTANBUL TÜNELİ</v>
      </c>
      <c r="D190" s="242" t="s">
        <v>187</v>
      </c>
      <c r="E190" s="221"/>
      <c r="F190" s="272">
        <v>2015</v>
      </c>
      <c r="G190" s="272">
        <v>2022</v>
      </c>
      <c r="H190" s="176">
        <v>60212000</v>
      </c>
      <c r="I190" s="176">
        <v>56416000</v>
      </c>
      <c r="J190" s="504">
        <v>3795000</v>
      </c>
      <c r="K190" s="158"/>
      <c r="L190" s="504">
        <f>J190/4</f>
        <v>948750</v>
      </c>
      <c r="M190" s="504">
        <v>948750</v>
      </c>
      <c r="N190" s="504">
        <v>948750</v>
      </c>
      <c r="O190" s="504">
        <v>948750</v>
      </c>
      <c r="P190" s="158"/>
    </row>
    <row r="191" spans="1:16" ht="57" customHeight="1">
      <c r="A191" s="259">
        <v>2</v>
      </c>
      <c r="B191" s="259" t="s">
        <v>40</v>
      </c>
      <c r="C191" s="500" t="str">
        <f>UPPER("'Gebze-Haydarpaşa,Sirkeci-Halkalı Banliyö
 Hattlarının İyileştirilmesi ve Demiryolu Boğaz Tüp Geçişi İnşaatı ")</f>
        <v xml:space="preserve">'GEBZE-HAYDARPAŞA,SİRKECİ-HALKALI BANLİYÖ
 HATTLARININ İYİLEŞTİRİLMESİ VE DEMİRYOLU BOĞAZ TÜP GEÇİŞİ İNŞAATI </v>
      </c>
      <c r="D191" s="242" t="s">
        <v>1881</v>
      </c>
      <c r="E191" s="221"/>
      <c r="F191" s="567">
        <v>1998</v>
      </c>
      <c r="G191" s="272">
        <v>2024</v>
      </c>
      <c r="H191" s="504">
        <v>24467346000</v>
      </c>
      <c r="I191" s="504">
        <v>20290890000</v>
      </c>
      <c r="J191" s="504">
        <v>826839000</v>
      </c>
      <c r="K191" s="158"/>
      <c r="L191" s="504">
        <f t="shared" ref="L191:L197" si="14">J191/4</f>
        <v>206709750</v>
      </c>
      <c r="M191" s="504">
        <v>206709750</v>
      </c>
      <c r="N191" s="504">
        <v>206709750</v>
      </c>
      <c r="O191" s="504">
        <v>206709750</v>
      </c>
      <c r="P191" s="158"/>
    </row>
    <row r="192" spans="1:16" ht="36.75" customHeight="1">
      <c r="A192" s="259">
        <v>3</v>
      </c>
      <c r="B192" s="259" t="s">
        <v>40</v>
      </c>
      <c r="C192" s="501" t="str">
        <f>UPPER("'SABİHA GÖKÇEN HAVALİMANI METRO BAĞLANTILARI    ")</f>
        <v xml:space="preserve">'SABİHA GÖKÇEN HAVALİMANI METRO BAĞLANTILARI    </v>
      </c>
      <c r="D192" s="210" t="s">
        <v>1882</v>
      </c>
      <c r="E192" s="221"/>
      <c r="F192" s="568">
        <v>2007</v>
      </c>
      <c r="G192" s="569">
        <v>2022</v>
      </c>
      <c r="H192" s="169">
        <v>2369831000</v>
      </c>
      <c r="I192" s="505">
        <v>2038312000</v>
      </c>
      <c r="J192" s="505">
        <v>331516000</v>
      </c>
      <c r="K192" s="158"/>
      <c r="L192" s="504">
        <f t="shared" si="14"/>
        <v>82879000</v>
      </c>
      <c r="M192" s="504">
        <v>82879000</v>
      </c>
      <c r="N192" s="504">
        <v>82879000</v>
      </c>
      <c r="O192" s="504">
        <v>82879000</v>
      </c>
      <c r="P192" s="158"/>
    </row>
    <row r="193" spans="1:16" ht="36.75" customHeight="1">
      <c r="A193" s="259">
        <v>4</v>
      </c>
      <c r="B193" s="259" t="s">
        <v>40</v>
      </c>
      <c r="C193" s="502" t="str">
        <f>UPPER("Bakırköy - Bahçelievler - Kirazlı Metro  ")</f>
        <v xml:space="preserve">BAKIRKÖY - BAHÇELİEVLER - KİRAZLI METRO  </v>
      </c>
      <c r="D193" s="504" t="s">
        <v>187</v>
      </c>
      <c r="E193" s="221"/>
      <c r="F193" s="272">
        <v>2013</v>
      </c>
      <c r="G193" s="272">
        <v>2023</v>
      </c>
      <c r="H193" s="504">
        <v>4126599000</v>
      </c>
      <c r="I193" s="504">
        <v>1906753000</v>
      </c>
      <c r="J193" s="504">
        <v>785473000</v>
      </c>
      <c r="K193" s="158"/>
      <c r="L193" s="504">
        <f t="shared" si="14"/>
        <v>196368250</v>
      </c>
      <c r="M193" s="504">
        <v>196368250</v>
      </c>
      <c r="N193" s="504">
        <v>196368250</v>
      </c>
      <c r="O193" s="504">
        <v>196368250</v>
      </c>
      <c r="P193" s="158"/>
    </row>
    <row r="194" spans="1:16" ht="36.75" customHeight="1">
      <c r="A194" s="259">
        <v>5</v>
      </c>
      <c r="B194" s="259" t="s">
        <v>40</v>
      </c>
      <c r="C194" s="502" t="str">
        <f>UPPER("Yenikapı-İncirli-Sefaköy Metro Hattı")</f>
        <v>YENİKAPI-İNCİRLİ-SEFAKÖY METRO HATTI</v>
      </c>
      <c r="D194" s="504" t="s">
        <v>187</v>
      </c>
      <c r="E194" s="221"/>
      <c r="F194" s="570">
        <v>2015</v>
      </c>
      <c r="G194" s="272">
        <v>2024</v>
      </c>
      <c r="H194" s="504">
        <v>6684449000</v>
      </c>
      <c r="I194" s="176">
        <v>0</v>
      </c>
      <c r="J194" s="504">
        <v>2000</v>
      </c>
      <c r="K194" s="158"/>
      <c r="L194" s="504">
        <f t="shared" si="14"/>
        <v>500</v>
      </c>
      <c r="M194" s="504">
        <v>500</v>
      </c>
      <c r="N194" s="504">
        <v>500</v>
      </c>
      <c r="O194" s="504">
        <v>500</v>
      </c>
      <c r="P194" s="158"/>
    </row>
    <row r="195" spans="1:16" ht="36.75" customHeight="1">
      <c r="A195" s="259">
        <v>6</v>
      </c>
      <c r="B195" s="259" t="s">
        <v>40</v>
      </c>
      <c r="C195" s="503" t="str">
        <f>UPPER("'İstanbul Yeni Havalimanı Raylı Sistem Bağlantıları")</f>
        <v>'İSTANBUL YENİ HAVALİMANI RAYLI SİSTEM BAĞLANTILARI</v>
      </c>
      <c r="D195" s="504" t="s">
        <v>187</v>
      </c>
      <c r="E195" s="221"/>
      <c r="F195" s="570">
        <v>2016</v>
      </c>
      <c r="G195" s="272">
        <v>2023</v>
      </c>
      <c r="H195" s="504">
        <v>22326581000</v>
      </c>
      <c r="I195" s="504">
        <v>14426538000</v>
      </c>
      <c r="J195" s="504">
        <v>3045788000</v>
      </c>
      <c r="K195" s="158"/>
      <c r="L195" s="504">
        <f t="shared" si="14"/>
        <v>761447000</v>
      </c>
      <c r="M195" s="504">
        <v>761447000</v>
      </c>
      <c r="N195" s="504">
        <v>761447000</v>
      </c>
      <c r="O195" s="504">
        <v>761447000</v>
      </c>
      <c r="P195" s="158"/>
    </row>
    <row r="196" spans="1:16" ht="36.75" customHeight="1">
      <c r="A196" s="259">
        <v>7</v>
      </c>
      <c r="B196" s="259" t="s">
        <v>40</v>
      </c>
      <c r="C196" s="503" t="s">
        <v>1883</v>
      </c>
      <c r="D196" s="504" t="s">
        <v>187</v>
      </c>
      <c r="E196" s="221"/>
      <c r="F196" s="570">
        <v>2017</v>
      </c>
      <c r="G196" s="570">
        <v>2023</v>
      </c>
      <c r="H196" s="504">
        <v>2059733000</v>
      </c>
      <c r="I196" s="504">
        <v>669368000</v>
      </c>
      <c r="J196" s="504">
        <v>845095000</v>
      </c>
      <c r="K196" s="158"/>
      <c r="L196" s="504">
        <f t="shared" si="14"/>
        <v>211273750</v>
      </c>
      <c r="M196" s="504">
        <v>211273750</v>
      </c>
      <c r="N196" s="504">
        <v>211273750</v>
      </c>
      <c r="O196" s="504">
        <v>211273750</v>
      </c>
      <c r="P196" s="158"/>
    </row>
    <row r="197" spans="1:16" ht="36.75" customHeight="1">
      <c r="A197" s="259">
        <v>8</v>
      </c>
      <c r="B197" s="259" t="s">
        <v>40</v>
      </c>
      <c r="C197" s="503" t="s">
        <v>1884</v>
      </c>
      <c r="D197" s="504" t="s">
        <v>187</v>
      </c>
      <c r="E197" s="221"/>
      <c r="F197" s="570">
        <v>2017</v>
      </c>
      <c r="G197" s="272">
        <v>2020</v>
      </c>
      <c r="H197" s="504">
        <v>717291000</v>
      </c>
      <c r="I197" s="504">
        <v>391772000</v>
      </c>
      <c r="J197" s="504">
        <v>99000000</v>
      </c>
      <c r="K197" s="158"/>
      <c r="L197" s="504">
        <f t="shared" si="14"/>
        <v>24750000</v>
      </c>
      <c r="M197" s="504">
        <v>24750000</v>
      </c>
      <c r="N197" s="504">
        <v>24750000</v>
      </c>
      <c r="O197" s="504">
        <v>24750000</v>
      </c>
      <c r="P197" s="158"/>
    </row>
    <row r="198" spans="1:16" ht="20.25" customHeight="1">
      <c r="A198" s="707" t="s">
        <v>20</v>
      </c>
      <c r="B198" s="707"/>
      <c r="C198" s="707"/>
      <c r="D198" s="707"/>
      <c r="E198" s="707"/>
      <c r="F198" s="707"/>
      <c r="G198" s="707"/>
      <c r="H198" s="407">
        <f t="shared" ref="H198:O198" si="15">SUM(H190:H197)</f>
        <v>62812042000</v>
      </c>
      <c r="I198" s="407">
        <f t="shared" si="15"/>
        <v>39780049000</v>
      </c>
      <c r="J198" s="407">
        <f t="shared" si="15"/>
        <v>5937508000</v>
      </c>
      <c r="K198" s="407">
        <f t="shared" si="15"/>
        <v>0</v>
      </c>
      <c r="L198" s="407">
        <f t="shared" si="15"/>
        <v>1484377000</v>
      </c>
      <c r="M198" s="407">
        <f t="shared" si="15"/>
        <v>1484377000</v>
      </c>
      <c r="N198" s="407">
        <f t="shared" si="15"/>
        <v>1484377000</v>
      </c>
      <c r="O198" s="407">
        <f t="shared" si="15"/>
        <v>1484377000</v>
      </c>
      <c r="P198" s="499"/>
    </row>
    <row r="199" spans="1:16" ht="20.25" customHeight="1">
      <c r="A199" s="711"/>
      <c r="B199" s="712"/>
      <c r="C199" s="712"/>
      <c r="D199" s="712"/>
      <c r="E199" s="712"/>
      <c r="F199" s="712"/>
      <c r="G199" s="712"/>
      <c r="H199" s="712"/>
      <c r="I199" s="712"/>
      <c r="J199" s="712"/>
      <c r="K199" s="712"/>
      <c r="L199" s="712"/>
      <c r="M199" s="712"/>
      <c r="N199" s="712"/>
      <c r="O199" s="712"/>
      <c r="P199" s="713"/>
    </row>
    <row r="200" spans="1:16" ht="30" customHeight="1" thickBot="1">
      <c r="A200" s="681" t="s">
        <v>123</v>
      </c>
      <c r="B200" s="682"/>
      <c r="C200" s="682"/>
      <c r="D200" s="682"/>
      <c r="E200" s="682"/>
      <c r="F200" s="682"/>
      <c r="G200" s="682"/>
      <c r="H200" s="682"/>
      <c r="I200" s="682"/>
      <c r="J200" s="682"/>
      <c r="K200" s="682"/>
      <c r="L200" s="682"/>
      <c r="M200" s="682"/>
      <c r="N200" s="682"/>
      <c r="O200" s="682"/>
      <c r="P200" s="683"/>
    </row>
    <row r="201" spans="1:16" s="102" customFormat="1" ht="94.5">
      <c r="A201" s="200">
        <v>1</v>
      </c>
      <c r="B201" s="200" t="s">
        <v>66</v>
      </c>
      <c r="C201" s="171" t="s">
        <v>1043</v>
      </c>
      <c r="D201" s="171" t="s">
        <v>1044</v>
      </c>
      <c r="E201" s="152" t="s">
        <v>1045</v>
      </c>
      <c r="F201" s="346">
        <v>44197</v>
      </c>
      <c r="G201" s="346">
        <v>44561</v>
      </c>
      <c r="H201" s="176">
        <v>100000</v>
      </c>
      <c r="I201" s="219">
        <v>0</v>
      </c>
      <c r="J201" s="203">
        <v>100000</v>
      </c>
      <c r="K201" s="152"/>
      <c r="L201" s="159">
        <v>25000</v>
      </c>
      <c r="M201" s="159">
        <v>25000</v>
      </c>
      <c r="N201" s="159">
        <v>25000</v>
      </c>
      <c r="O201" s="159">
        <v>25000</v>
      </c>
      <c r="P201" s="366"/>
    </row>
    <row r="202" spans="1:16" s="102" customFormat="1" ht="30" customHeight="1">
      <c r="A202" s="200">
        <v>2</v>
      </c>
      <c r="B202" s="200" t="s">
        <v>66</v>
      </c>
      <c r="C202" s="171" t="s">
        <v>1046</v>
      </c>
      <c r="D202" s="171" t="s">
        <v>1047</v>
      </c>
      <c r="E202" s="152" t="s">
        <v>1045</v>
      </c>
      <c r="F202" s="346">
        <v>44197</v>
      </c>
      <c r="G202" s="346">
        <v>44561</v>
      </c>
      <c r="H202" s="176">
        <v>45000</v>
      </c>
      <c r="I202" s="166">
        <v>0</v>
      </c>
      <c r="J202" s="144">
        <v>45000</v>
      </c>
      <c r="K202" s="158"/>
      <c r="L202" s="144">
        <v>11250</v>
      </c>
      <c r="M202" s="144">
        <v>11250</v>
      </c>
      <c r="N202" s="144">
        <v>11250</v>
      </c>
      <c r="O202" s="144">
        <v>11250</v>
      </c>
      <c r="P202" s="366"/>
    </row>
    <row r="203" spans="1:16" s="102" customFormat="1" ht="63">
      <c r="A203" s="200">
        <v>3</v>
      </c>
      <c r="B203" s="200" t="s">
        <v>66</v>
      </c>
      <c r="C203" s="171" t="s">
        <v>1048</v>
      </c>
      <c r="D203" s="171" t="s">
        <v>1049</v>
      </c>
      <c r="E203" s="152" t="s">
        <v>1045</v>
      </c>
      <c r="F203" s="346">
        <v>44197</v>
      </c>
      <c r="G203" s="346">
        <v>44561</v>
      </c>
      <c r="H203" s="176">
        <v>1994000</v>
      </c>
      <c r="I203" s="166">
        <v>0</v>
      </c>
      <c r="J203" s="144">
        <v>1994000</v>
      </c>
      <c r="K203" s="158"/>
      <c r="L203" s="144">
        <v>498500</v>
      </c>
      <c r="M203" s="144">
        <v>498500</v>
      </c>
      <c r="N203" s="144">
        <v>498500</v>
      </c>
      <c r="O203" s="144">
        <v>498500</v>
      </c>
      <c r="P203" s="366"/>
    </row>
    <row r="204" spans="1:16" s="102" customFormat="1" ht="30">
      <c r="A204" s="200">
        <v>4</v>
      </c>
      <c r="B204" s="200" t="s">
        <v>66</v>
      </c>
      <c r="C204" s="171" t="s">
        <v>1050</v>
      </c>
      <c r="D204" s="347" t="s">
        <v>1051</v>
      </c>
      <c r="E204" s="152" t="s">
        <v>1045</v>
      </c>
      <c r="F204" s="346">
        <v>44197</v>
      </c>
      <c r="G204" s="346">
        <v>44561</v>
      </c>
      <c r="H204" s="176">
        <v>5870000</v>
      </c>
      <c r="I204" s="167">
        <v>0</v>
      </c>
      <c r="J204" s="144">
        <v>5870000</v>
      </c>
      <c r="K204" s="158"/>
      <c r="L204" s="144">
        <v>1467500</v>
      </c>
      <c r="M204" s="144">
        <v>1467500</v>
      </c>
      <c r="N204" s="144">
        <v>1467500</v>
      </c>
      <c r="O204" s="144">
        <v>1467500</v>
      </c>
      <c r="P204" s="366"/>
    </row>
    <row r="205" spans="1:16" s="102" customFormat="1" ht="35.25" customHeight="1">
      <c r="A205" s="158">
        <v>5</v>
      </c>
      <c r="B205" s="200" t="s">
        <v>66</v>
      </c>
      <c r="C205" s="171" t="s">
        <v>1052</v>
      </c>
      <c r="D205" s="171" t="s">
        <v>716</v>
      </c>
      <c r="E205" s="152" t="s">
        <v>1045</v>
      </c>
      <c r="F205" s="346">
        <v>44197</v>
      </c>
      <c r="G205" s="346">
        <v>44561</v>
      </c>
      <c r="H205" s="176">
        <v>60000</v>
      </c>
      <c r="I205" s="167">
        <v>0</v>
      </c>
      <c r="J205" s="144">
        <v>60000</v>
      </c>
      <c r="K205" s="158"/>
      <c r="L205" s="144">
        <v>15000</v>
      </c>
      <c r="M205" s="144">
        <v>15000</v>
      </c>
      <c r="N205" s="144">
        <v>15000</v>
      </c>
      <c r="O205" s="144">
        <v>15000</v>
      </c>
      <c r="P205" s="140"/>
    </row>
    <row r="206" spans="1:16" s="102" customFormat="1" ht="30.75" customHeight="1">
      <c r="A206" s="200">
        <v>6</v>
      </c>
      <c r="B206" s="200" t="s">
        <v>66</v>
      </c>
      <c r="C206" s="171" t="s">
        <v>1053</v>
      </c>
      <c r="D206" s="171" t="s">
        <v>196</v>
      </c>
      <c r="E206" s="152" t="s">
        <v>1045</v>
      </c>
      <c r="F206" s="346">
        <v>44197</v>
      </c>
      <c r="G206" s="346">
        <v>44561</v>
      </c>
      <c r="H206" s="176">
        <v>1950000</v>
      </c>
      <c r="I206" s="167">
        <v>0</v>
      </c>
      <c r="J206" s="144">
        <v>1950000</v>
      </c>
      <c r="K206" s="158"/>
      <c r="L206" s="144">
        <v>487500</v>
      </c>
      <c r="M206" s="144">
        <v>487500</v>
      </c>
      <c r="N206" s="144">
        <v>487500</v>
      </c>
      <c r="O206" s="144">
        <v>487500</v>
      </c>
      <c r="P206" s="140"/>
    </row>
    <row r="207" spans="1:16" s="102" customFormat="1" ht="31.5">
      <c r="A207" s="158">
        <v>7</v>
      </c>
      <c r="B207" s="200" t="s">
        <v>66</v>
      </c>
      <c r="C207" s="171" t="s">
        <v>1054</v>
      </c>
      <c r="D207" s="171" t="s">
        <v>1055</v>
      </c>
      <c r="E207" s="171" t="s">
        <v>1056</v>
      </c>
      <c r="F207" s="346">
        <v>44197</v>
      </c>
      <c r="G207" s="346">
        <v>44561</v>
      </c>
      <c r="H207" s="176">
        <v>1499000</v>
      </c>
      <c r="I207" s="167">
        <v>0</v>
      </c>
      <c r="J207" s="144">
        <v>1499000</v>
      </c>
      <c r="K207" s="158"/>
      <c r="L207" s="144">
        <v>1499000</v>
      </c>
      <c r="M207" s="158"/>
      <c r="N207" s="158"/>
      <c r="O207" s="158"/>
      <c r="P207" s="140"/>
    </row>
    <row r="208" spans="1:16" s="102" customFormat="1" ht="32.25" thickBot="1">
      <c r="A208" s="320">
        <v>8</v>
      </c>
      <c r="B208" s="320" t="s">
        <v>66</v>
      </c>
      <c r="C208" s="171" t="s">
        <v>1057</v>
      </c>
      <c r="D208" s="171" t="s">
        <v>1058</v>
      </c>
      <c r="E208" s="171" t="s">
        <v>1056</v>
      </c>
      <c r="F208" s="346">
        <v>44197</v>
      </c>
      <c r="G208" s="346">
        <v>44561</v>
      </c>
      <c r="H208" s="176">
        <v>1440000</v>
      </c>
      <c r="I208" s="167">
        <v>0</v>
      </c>
      <c r="J208" s="144">
        <v>1440000</v>
      </c>
      <c r="K208" s="158"/>
      <c r="L208" s="144">
        <v>1440000</v>
      </c>
      <c r="M208" s="158"/>
      <c r="N208" s="158"/>
      <c r="O208" s="158"/>
      <c r="P208" s="373"/>
    </row>
    <row r="209" spans="1:16" s="112" customFormat="1" ht="30" customHeight="1" thickBot="1">
      <c r="A209" s="668" t="s">
        <v>20</v>
      </c>
      <c r="B209" s="669"/>
      <c r="C209" s="669"/>
      <c r="D209" s="669"/>
      <c r="E209" s="669"/>
      <c r="F209" s="669"/>
      <c r="G209" s="670"/>
      <c r="H209" s="220">
        <f t="shared" ref="H209:O209" si="16">SUM(H201:H208)</f>
        <v>12958000</v>
      </c>
      <c r="I209" s="220">
        <f t="shared" si="16"/>
        <v>0</v>
      </c>
      <c r="J209" s="220">
        <f t="shared" si="16"/>
        <v>12958000</v>
      </c>
      <c r="K209" s="220">
        <f t="shared" si="16"/>
        <v>0</v>
      </c>
      <c r="L209" s="220">
        <f t="shared" si="16"/>
        <v>5443750</v>
      </c>
      <c r="M209" s="220">
        <f t="shared" si="16"/>
        <v>2504750</v>
      </c>
      <c r="N209" s="220">
        <f t="shared" si="16"/>
        <v>2504750</v>
      </c>
      <c r="O209" s="220">
        <f t="shared" si="16"/>
        <v>2504750</v>
      </c>
      <c r="P209" s="120"/>
    </row>
    <row r="210" spans="1:16" ht="15" customHeight="1" thickBot="1">
      <c r="A210" s="671"/>
      <c r="B210" s="672"/>
      <c r="C210" s="672"/>
      <c r="D210" s="672"/>
      <c r="E210" s="672"/>
      <c r="F210" s="672"/>
      <c r="G210" s="672"/>
      <c r="H210" s="672"/>
      <c r="I210" s="672"/>
      <c r="J210" s="672"/>
      <c r="K210" s="672"/>
      <c r="L210" s="672"/>
      <c r="M210" s="672"/>
      <c r="N210" s="672"/>
      <c r="O210" s="672"/>
      <c r="P210" s="673"/>
    </row>
    <row r="211" spans="1:16" s="9" customFormat="1" ht="30" customHeight="1" thickBot="1">
      <c r="A211" s="652" t="s">
        <v>129</v>
      </c>
      <c r="B211" s="653"/>
      <c r="C211" s="653"/>
      <c r="D211" s="653"/>
      <c r="E211" s="653"/>
      <c r="F211" s="653"/>
      <c r="G211" s="653"/>
      <c r="H211" s="653"/>
      <c r="I211" s="653"/>
      <c r="J211" s="653"/>
      <c r="K211" s="653"/>
      <c r="L211" s="653"/>
      <c r="M211" s="653"/>
      <c r="N211" s="653"/>
      <c r="O211" s="653"/>
      <c r="P211" s="654"/>
    </row>
    <row r="212" spans="1:16" s="101" customFormat="1" ht="50.25" customHeight="1">
      <c r="A212" s="200">
        <v>1</v>
      </c>
      <c r="B212" s="200" t="s">
        <v>66</v>
      </c>
      <c r="C212" s="172" t="s">
        <v>306</v>
      </c>
      <c r="D212" s="165" t="s">
        <v>313</v>
      </c>
      <c r="E212" s="172" t="s">
        <v>309</v>
      </c>
      <c r="F212" s="162">
        <v>44197</v>
      </c>
      <c r="G212" s="163">
        <v>44561</v>
      </c>
      <c r="H212" s="168">
        <v>45000</v>
      </c>
      <c r="I212" s="164">
        <v>0</v>
      </c>
      <c r="J212" s="168">
        <v>45000</v>
      </c>
      <c r="K212" s="143">
        <v>0</v>
      </c>
      <c r="L212" s="143">
        <v>11250</v>
      </c>
      <c r="M212" s="143">
        <v>11250</v>
      </c>
      <c r="N212" s="143">
        <v>11250</v>
      </c>
      <c r="O212" s="143">
        <v>11250</v>
      </c>
      <c r="P212" s="160" t="s">
        <v>318</v>
      </c>
    </row>
    <row r="213" spans="1:16" s="101" customFormat="1" ht="32.25" customHeight="1">
      <c r="A213" s="158">
        <v>2</v>
      </c>
      <c r="B213" s="200" t="s">
        <v>66</v>
      </c>
      <c r="C213" s="172" t="s">
        <v>307</v>
      </c>
      <c r="D213" s="171" t="s">
        <v>314</v>
      </c>
      <c r="E213" s="172" t="s">
        <v>310</v>
      </c>
      <c r="F213" s="155">
        <v>44197</v>
      </c>
      <c r="G213" s="163">
        <v>44561</v>
      </c>
      <c r="H213" s="144">
        <v>3300000</v>
      </c>
      <c r="I213" s="166">
        <v>0</v>
      </c>
      <c r="J213" s="144">
        <v>3300000</v>
      </c>
      <c r="K213" s="144">
        <v>0</v>
      </c>
      <c r="L213" s="144">
        <v>825000</v>
      </c>
      <c r="M213" s="144">
        <v>825000</v>
      </c>
      <c r="N213" s="144">
        <v>825000</v>
      </c>
      <c r="O213" s="144">
        <v>825000</v>
      </c>
      <c r="P213" s="161" t="s">
        <v>319</v>
      </c>
    </row>
    <row r="214" spans="1:16" s="101" customFormat="1" ht="32.25" customHeight="1">
      <c r="A214" s="158">
        <v>3</v>
      </c>
      <c r="B214" s="200" t="s">
        <v>66</v>
      </c>
      <c r="C214" s="172" t="s">
        <v>307</v>
      </c>
      <c r="D214" s="171" t="s">
        <v>315</v>
      </c>
      <c r="E214" s="172" t="s">
        <v>311</v>
      </c>
      <c r="F214" s="155">
        <v>44197</v>
      </c>
      <c r="G214" s="163">
        <v>44561</v>
      </c>
      <c r="H214" s="144">
        <v>75000</v>
      </c>
      <c r="I214" s="166">
        <v>0</v>
      </c>
      <c r="J214" s="144">
        <v>75000</v>
      </c>
      <c r="K214" s="144">
        <v>0</v>
      </c>
      <c r="L214" s="144">
        <v>18750</v>
      </c>
      <c r="M214" s="144">
        <v>18750</v>
      </c>
      <c r="N214" s="144">
        <v>18750</v>
      </c>
      <c r="O214" s="144">
        <v>18750</v>
      </c>
      <c r="P214" s="161" t="s">
        <v>320</v>
      </c>
    </row>
    <row r="215" spans="1:16" s="101" customFormat="1" ht="27" customHeight="1">
      <c r="A215" s="158">
        <v>4</v>
      </c>
      <c r="B215" s="200" t="s">
        <v>66</v>
      </c>
      <c r="C215" s="172" t="s">
        <v>307</v>
      </c>
      <c r="D215" s="171" t="s">
        <v>316</v>
      </c>
      <c r="E215" s="172" t="s">
        <v>35</v>
      </c>
      <c r="F215" s="155">
        <v>44197</v>
      </c>
      <c r="G215" s="163">
        <v>44561</v>
      </c>
      <c r="H215" s="144">
        <v>250000</v>
      </c>
      <c r="I215" s="167">
        <v>0</v>
      </c>
      <c r="J215" s="144">
        <v>250000</v>
      </c>
      <c r="K215" s="144">
        <v>0</v>
      </c>
      <c r="L215" s="144">
        <v>62500</v>
      </c>
      <c r="M215" s="144">
        <v>62500</v>
      </c>
      <c r="N215" s="144">
        <v>62500</v>
      </c>
      <c r="O215" s="144">
        <v>62500</v>
      </c>
      <c r="P215" s="161" t="s">
        <v>319</v>
      </c>
    </row>
    <row r="216" spans="1:16" s="101" customFormat="1" ht="27" customHeight="1">
      <c r="A216" s="158">
        <v>5</v>
      </c>
      <c r="B216" s="200" t="s">
        <v>66</v>
      </c>
      <c r="C216" s="172" t="s">
        <v>307</v>
      </c>
      <c r="D216" s="171" t="s">
        <v>314</v>
      </c>
      <c r="E216" s="172" t="s">
        <v>35</v>
      </c>
      <c r="F216" s="155">
        <v>44197</v>
      </c>
      <c r="G216" s="163">
        <v>44561</v>
      </c>
      <c r="H216" s="144">
        <v>250000</v>
      </c>
      <c r="I216" s="167">
        <v>0</v>
      </c>
      <c r="J216" s="144">
        <v>250000</v>
      </c>
      <c r="K216" s="145">
        <v>0</v>
      </c>
      <c r="L216" s="145">
        <v>62500</v>
      </c>
      <c r="M216" s="145">
        <v>62500</v>
      </c>
      <c r="N216" s="145">
        <v>62500</v>
      </c>
      <c r="O216" s="145">
        <v>62500</v>
      </c>
      <c r="P216" s="321" t="s">
        <v>319</v>
      </c>
    </row>
    <row r="217" spans="1:16" s="101" customFormat="1" ht="33" customHeight="1" thickBot="1">
      <c r="A217" s="158">
        <v>6</v>
      </c>
      <c r="B217" s="200" t="s">
        <v>66</v>
      </c>
      <c r="C217" s="171" t="s">
        <v>308</v>
      </c>
      <c r="D217" s="171" t="s">
        <v>317</v>
      </c>
      <c r="E217" s="171" t="s">
        <v>312</v>
      </c>
      <c r="F217" s="155">
        <v>44197</v>
      </c>
      <c r="G217" s="163">
        <v>44561</v>
      </c>
      <c r="H217" s="144">
        <v>22735</v>
      </c>
      <c r="I217" s="167">
        <v>0</v>
      </c>
      <c r="J217" s="144">
        <v>22735</v>
      </c>
      <c r="K217" s="145">
        <v>0</v>
      </c>
      <c r="L217" s="145">
        <v>5683</v>
      </c>
      <c r="M217" s="145">
        <v>5683</v>
      </c>
      <c r="N217" s="145">
        <v>5683</v>
      </c>
      <c r="O217" s="145">
        <v>5683</v>
      </c>
      <c r="P217" s="321" t="s">
        <v>321</v>
      </c>
    </row>
    <row r="218" spans="1:16" s="101" customFormat="1" ht="30" customHeight="1" thickBot="1">
      <c r="A218" s="668" t="s">
        <v>20</v>
      </c>
      <c r="B218" s="669"/>
      <c r="C218" s="669"/>
      <c r="D218" s="669"/>
      <c r="E218" s="669"/>
      <c r="F218" s="669"/>
      <c r="G218" s="670"/>
      <c r="H218" s="146">
        <f t="shared" ref="H218:O218" si="17">SUM(H212:H217)</f>
        <v>3942735</v>
      </c>
      <c r="I218" s="146">
        <f t="shared" si="17"/>
        <v>0</v>
      </c>
      <c r="J218" s="146">
        <f t="shared" si="17"/>
        <v>3942735</v>
      </c>
      <c r="K218" s="146">
        <f t="shared" si="17"/>
        <v>0</v>
      </c>
      <c r="L218" s="146">
        <f t="shared" si="17"/>
        <v>985683</v>
      </c>
      <c r="M218" s="146">
        <f t="shared" si="17"/>
        <v>985683</v>
      </c>
      <c r="N218" s="146">
        <f t="shared" si="17"/>
        <v>985683</v>
      </c>
      <c r="O218" s="146">
        <f t="shared" si="17"/>
        <v>985683</v>
      </c>
      <c r="P218" s="118"/>
    </row>
    <row r="219" spans="1:16" s="9" customFormat="1" ht="16.5" customHeight="1" thickBot="1">
      <c r="A219" s="671"/>
      <c r="B219" s="672"/>
      <c r="C219" s="672"/>
      <c r="D219" s="672"/>
      <c r="E219" s="672"/>
      <c r="F219" s="672"/>
      <c r="G219" s="672"/>
      <c r="H219" s="672"/>
      <c r="I219" s="672"/>
      <c r="J219" s="672"/>
      <c r="K219" s="672"/>
      <c r="L219" s="672"/>
      <c r="M219" s="672"/>
      <c r="N219" s="672"/>
      <c r="O219" s="672"/>
      <c r="P219" s="673"/>
    </row>
    <row r="220" spans="1:16" ht="30" customHeight="1" thickBot="1">
      <c r="A220" s="680" t="s">
        <v>106</v>
      </c>
      <c r="B220" s="680"/>
      <c r="C220" s="680"/>
      <c r="D220" s="680"/>
      <c r="E220" s="680"/>
      <c r="F220" s="680"/>
      <c r="G220" s="680"/>
      <c r="H220" s="680"/>
      <c r="I220" s="680"/>
      <c r="J220" s="680"/>
      <c r="K220" s="680"/>
      <c r="L220" s="680"/>
      <c r="M220" s="680"/>
      <c r="N220" s="680"/>
      <c r="O220" s="680"/>
      <c r="P220" s="680"/>
    </row>
    <row r="221" spans="1:16" s="31" customFormat="1" ht="48" customHeight="1">
      <c r="A221" s="200">
        <v>1</v>
      </c>
      <c r="B221" s="200" t="s">
        <v>45</v>
      </c>
      <c r="C221" s="322" t="s">
        <v>71</v>
      </c>
      <c r="D221" s="170" t="s">
        <v>187</v>
      </c>
      <c r="E221" s="545" t="s">
        <v>72</v>
      </c>
      <c r="F221" s="323">
        <v>44119</v>
      </c>
      <c r="G221" s="151">
        <v>44388</v>
      </c>
      <c r="H221" s="203">
        <v>5000000</v>
      </c>
      <c r="I221" s="512">
        <v>0</v>
      </c>
      <c r="J221" s="203">
        <v>2000000</v>
      </c>
      <c r="K221" s="147"/>
      <c r="L221" s="203">
        <f t="shared" ref="L221:L255" si="18">J221/4</f>
        <v>500000</v>
      </c>
      <c r="M221" s="203">
        <f t="shared" ref="M221:M255" si="19">J221/4</f>
        <v>500000</v>
      </c>
      <c r="N221" s="203">
        <f t="shared" ref="N221:N255" si="20">J221/4</f>
        <v>500000</v>
      </c>
      <c r="O221" s="203">
        <f t="shared" ref="O221:O255" si="21">J221/4</f>
        <v>500000</v>
      </c>
      <c r="P221" s="153" t="s">
        <v>283</v>
      </c>
    </row>
    <row r="222" spans="1:16" s="31" customFormat="1" ht="73.5" customHeight="1">
      <c r="A222" s="158">
        <v>2</v>
      </c>
      <c r="B222" s="158" t="s">
        <v>45</v>
      </c>
      <c r="C222" s="324" t="s">
        <v>255</v>
      </c>
      <c r="D222" s="170" t="s">
        <v>187</v>
      </c>
      <c r="E222" s="233" t="s">
        <v>268</v>
      </c>
      <c r="F222" s="323">
        <v>44120</v>
      </c>
      <c r="G222" s="156">
        <v>44239</v>
      </c>
      <c r="H222" s="203">
        <v>124000000</v>
      </c>
      <c r="I222" s="512">
        <v>2960433.62</v>
      </c>
      <c r="J222" s="203">
        <v>8000000</v>
      </c>
      <c r="K222" s="141"/>
      <c r="L222" s="203">
        <f t="shared" si="18"/>
        <v>2000000</v>
      </c>
      <c r="M222" s="203">
        <f t="shared" si="19"/>
        <v>2000000</v>
      </c>
      <c r="N222" s="203">
        <f t="shared" si="20"/>
        <v>2000000</v>
      </c>
      <c r="O222" s="203">
        <f t="shared" si="21"/>
        <v>2000000</v>
      </c>
      <c r="P222" s="153" t="s">
        <v>284</v>
      </c>
    </row>
    <row r="223" spans="1:16" s="31" customFormat="1" ht="44.25" customHeight="1">
      <c r="A223" s="158">
        <v>3</v>
      </c>
      <c r="B223" s="158" t="s">
        <v>45</v>
      </c>
      <c r="C223" s="326" t="s">
        <v>76</v>
      </c>
      <c r="D223" s="170" t="s">
        <v>187</v>
      </c>
      <c r="E223" s="233" t="s">
        <v>77</v>
      </c>
      <c r="F223" s="327">
        <v>2017</v>
      </c>
      <c r="G223" s="233">
        <v>2022</v>
      </c>
      <c r="H223" s="203">
        <v>45000000</v>
      </c>
      <c r="I223" s="513">
        <v>0</v>
      </c>
      <c r="J223" s="203">
        <v>10000000</v>
      </c>
      <c r="K223" s="141"/>
      <c r="L223" s="203">
        <f t="shared" si="18"/>
        <v>2500000</v>
      </c>
      <c r="M223" s="203">
        <f t="shared" si="19"/>
        <v>2500000</v>
      </c>
      <c r="N223" s="203">
        <f t="shared" si="20"/>
        <v>2500000</v>
      </c>
      <c r="O223" s="203">
        <f t="shared" si="21"/>
        <v>2500000</v>
      </c>
      <c r="P223" s="153" t="s">
        <v>285</v>
      </c>
    </row>
    <row r="224" spans="1:16" s="31" customFormat="1" ht="39" customHeight="1">
      <c r="A224" s="200">
        <v>4</v>
      </c>
      <c r="B224" s="158" t="s">
        <v>45</v>
      </c>
      <c r="C224" s="326" t="s">
        <v>78</v>
      </c>
      <c r="D224" s="170" t="s">
        <v>187</v>
      </c>
      <c r="E224" s="233" t="s">
        <v>79</v>
      </c>
      <c r="F224" s="327">
        <v>2018</v>
      </c>
      <c r="G224" s="233">
        <v>2023</v>
      </c>
      <c r="H224" s="203">
        <v>8800000</v>
      </c>
      <c r="I224" s="513">
        <v>0</v>
      </c>
      <c r="J224" s="203">
        <v>2000</v>
      </c>
      <c r="K224" s="141"/>
      <c r="L224" s="203">
        <f t="shared" si="18"/>
        <v>500</v>
      </c>
      <c r="M224" s="203">
        <f t="shared" si="19"/>
        <v>500</v>
      </c>
      <c r="N224" s="203">
        <f t="shared" si="20"/>
        <v>500</v>
      </c>
      <c r="O224" s="203">
        <f t="shared" si="21"/>
        <v>500</v>
      </c>
      <c r="P224" s="153" t="s">
        <v>285</v>
      </c>
    </row>
    <row r="225" spans="1:16" s="31" customFormat="1" ht="47.25">
      <c r="A225" s="158">
        <v>5</v>
      </c>
      <c r="B225" s="158" t="s">
        <v>45</v>
      </c>
      <c r="C225" s="326" t="s">
        <v>256</v>
      </c>
      <c r="D225" s="170" t="s">
        <v>187</v>
      </c>
      <c r="E225" s="233" t="s">
        <v>269</v>
      </c>
      <c r="F225" s="327">
        <v>2018</v>
      </c>
      <c r="G225" s="233">
        <v>2023</v>
      </c>
      <c r="H225" s="203">
        <v>130000000</v>
      </c>
      <c r="I225" s="513">
        <v>0</v>
      </c>
      <c r="J225" s="203">
        <v>10000000</v>
      </c>
      <c r="K225" s="141"/>
      <c r="L225" s="203">
        <f t="shared" si="18"/>
        <v>2500000</v>
      </c>
      <c r="M225" s="203">
        <f t="shared" si="19"/>
        <v>2500000</v>
      </c>
      <c r="N225" s="203">
        <f t="shared" si="20"/>
        <v>2500000</v>
      </c>
      <c r="O225" s="203">
        <f t="shared" si="21"/>
        <v>2500000</v>
      </c>
      <c r="P225" s="153" t="s">
        <v>286</v>
      </c>
    </row>
    <row r="226" spans="1:16" s="31" customFormat="1" ht="31.5">
      <c r="A226" s="158">
        <v>6</v>
      </c>
      <c r="B226" s="158" t="s">
        <v>45</v>
      </c>
      <c r="C226" s="326" t="s">
        <v>257</v>
      </c>
      <c r="D226" s="170" t="s">
        <v>187</v>
      </c>
      <c r="E226" s="233" t="s">
        <v>270</v>
      </c>
      <c r="F226" s="327">
        <v>2020</v>
      </c>
      <c r="G226" s="233">
        <v>2023</v>
      </c>
      <c r="H226" s="203">
        <v>80000000</v>
      </c>
      <c r="I226" s="513">
        <v>0</v>
      </c>
      <c r="J226" s="203">
        <v>20000000</v>
      </c>
      <c r="K226" s="141"/>
      <c r="L226" s="203">
        <f t="shared" si="18"/>
        <v>5000000</v>
      </c>
      <c r="M226" s="203">
        <f t="shared" si="19"/>
        <v>5000000</v>
      </c>
      <c r="N226" s="203">
        <f t="shared" si="20"/>
        <v>5000000</v>
      </c>
      <c r="O226" s="203">
        <f t="shared" si="21"/>
        <v>5000000</v>
      </c>
      <c r="P226" s="153" t="s">
        <v>285</v>
      </c>
    </row>
    <row r="227" spans="1:16" s="31" customFormat="1" ht="94.5">
      <c r="A227" s="200">
        <v>7</v>
      </c>
      <c r="B227" s="158" t="s">
        <v>45</v>
      </c>
      <c r="C227" s="326" t="s">
        <v>258</v>
      </c>
      <c r="D227" s="170" t="s">
        <v>187</v>
      </c>
      <c r="E227" s="233" t="s">
        <v>271</v>
      </c>
      <c r="F227" s="327">
        <v>2020</v>
      </c>
      <c r="G227" s="233">
        <v>2023</v>
      </c>
      <c r="H227" s="203">
        <v>115000000</v>
      </c>
      <c r="I227" s="513">
        <v>0</v>
      </c>
      <c r="J227" s="203">
        <v>1500000</v>
      </c>
      <c r="K227" s="141"/>
      <c r="L227" s="203">
        <f t="shared" si="18"/>
        <v>375000</v>
      </c>
      <c r="M227" s="203">
        <f t="shared" si="19"/>
        <v>375000</v>
      </c>
      <c r="N227" s="203">
        <f t="shared" si="20"/>
        <v>375000</v>
      </c>
      <c r="O227" s="203">
        <f t="shared" si="21"/>
        <v>375000</v>
      </c>
      <c r="P227" s="153" t="s">
        <v>285</v>
      </c>
    </row>
    <row r="228" spans="1:16" s="31" customFormat="1" ht="47.25">
      <c r="A228" s="158">
        <v>8</v>
      </c>
      <c r="B228" s="158" t="s">
        <v>45</v>
      </c>
      <c r="C228" s="326" t="s">
        <v>73</v>
      </c>
      <c r="D228" s="170" t="s">
        <v>187</v>
      </c>
      <c r="E228" s="233" t="s">
        <v>74</v>
      </c>
      <c r="F228" s="327">
        <v>2021</v>
      </c>
      <c r="G228" s="233">
        <v>2023</v>
      </c>
      <c r="H228" s="203">
        <v>55000000</v>
      </c>
      <c r="I228" s="513">
        <v>0</v>
      </c>
      <c r="J228" s="203">
        <v>1100000</v>
      </c>
      <c r="K228" s="141"/>
      <c r="L228" s="203">
        <f t="shared" si="18"/>
        <v>275000</v>
      </c>
      <c r="M228" s="203">
        <f t="shared" si="19"/>
        <v>275000</v>
      </c>
      <c r="N228" s="203">
        <f t="shared" si="20"/>
        <v>275000</v>
      </c>
      <c r="O228" s="203">
        <f t="shared" si="21"/>
        <v>275000</v>
      </c>
      <c r="P228" s="153" t="s">
        <v>285</v>
      </c>
    </row>
    <row r="229" spans="1:16" s="31" customFormat="1" ht="63">
      <c r="A229" s="158">
        <v>9</v>
      </c>
      <c r="B229" s="158" t="s">
        <v>45</v>
      </c>
      <c r="C229" s="326" t="s">
        <v>259</v>
      </c>
      <c r="D229" s="170" t="s">
        <v>187</v>
      </c>
      <c r="E229" s="233" t="s">
        <v>272</v>
      </c>
      <c r="F229" s="327">
        <v>2021</v>
      </c>
      <c r="G229" s="233">
        <v>2023</v>
      </c>
      <c r="H229" s="203">
        <v>95000000</v>
      </c>
      <c r="I229" s="513">
        <v>0</v>
      </c>
      <c r="J229" s="203">
        <v>100000</v>
      </c>
      <c r="K229" s="141"/>
      <c r="L229" s="203">
        <f t="shared" si="18"/>
        <v>25000</v>
      </c>
      <c r="M229" s="203">
        <f t="shared" si="19"/>
        <v>25000</v>
      </c>
      <c r="N229" s="203">
        <f t="shared" si="20"/>
        <v>25000</v>
      </c>
      <c r="O229" s="203">
        <f t="shared" si="21"/>
        <v>25000</v>
      </c>
      <c r="P229" s="153" t="s">
        <v>285</v>
      </c>
    </row>
    <row r="230" spans="1:16" s="31" customFormat="1" ht="31.5">
      <c r="A230" s="200">
        <v>10</v>
      </c>
      <c r="B230" s="158" t="s">
        <v>45</v>
      </c>
      <c r="C230" s="326" t="s">
        <v>260</v>
      </c>
      <c r="D230" s="170" t="s">
        <v>187</v>
      </c>
      <c r="E230" s="233" t="s">
        <v>273</v>
      </c>
      <c r="F230" s="327">
        <v>2021</v>
      </c>
      <c r="G230" s="233">
        <v>2023</v>
      </c>
      <c r="H230" s="203">
        <v>1800000</v>
      </c>
      <c r="I230" s="513">
        <v>0</v>
      </c>
      <c r="J230" s="203">
        <v>50000</v>
      </c>
      <c r="K230" s="141"/>
      <c r="L230" s="203">
        <f t="shared" si="18"/>
        <v>12500</v>
      </c>
      <c r="M230" s="203">
        <f t="shared" si="19"/>
        <v>12500</v>
      </c>
      <c r="N230" s="203">
        <f t="shared" si="20"/>
        <v>12500</v>
      </c>
      <c r="O230" s="203">
        <f t="shared" si="21"/>
        <v>12500</v>
      </c>
      <c r="P230" s="153" t="s">
        <v>285</v>
      </c>
    </row>
    <row r="231" spans="1:16" s="31" customFormat="1" ht="63">
      <c r="A231" s="158">
        <v>11</v>
      </c>
      <c r="B231" s="158" t="s">
        <v>45</v>
      </c>
      <c r="C231" s="326" t="s">
        <v>261</v>
      </c>
      <c r="D231" s="170" t="s">
        <v>187</v>
      </c>
      <c r="E231" s="233" t="s">
        <v>82</v>
      </c>
      <c r="F231" s="328">
        <v>44056</v>
      </c>
      <c r="G231" s="328">
        <v>44415</v>
      </c>
      <c r="H231" s="203">
        <v>40000000</v>
      </c>
      <c r="I231" s="513">
        <v>4766554.2</v>
      </c>
      <c r="J231" s="203">
        <v>10000000</v>
      </c>
      <c r="K231" s="141"/>
      <c r="L231" s="203">
        <f t="shared" si="18"/>
        <v>2500000</v>
      </c>
      <c r="M231" s="203">
        <f t="shared" si="19"/>
        <v>2500000</v>
      </c>
      <c r="N231" s="203">
        <f t="shared" si="20"/>
        <v>2500000</v>
      </c>
      <c r="O231" s="203">
        <f t="shared" si="21"/>
        <v>2500000</v>
      </c>
      <c r="P231" s="153" t="s">
        <v>283</v>
      </c>
    </row>
    <row r="232" spans="1:16" s="31" customFormat="1" ht="47.25">
      <c r="A232" s="158">
        <v>12</v>
      </c>
      <c r="B232" s="158" t="s">
        <v>45</v>
      </c>
      <c r="C232" s="326" t="s">
        <v>86</v>
      </c>
      <c r="D232" s="170" t="s">
        <v>187</v>
      </c>
      <c r="E232" s="233" t="s">
        <v>274</v>
      </c>
      <c r="F232" s="328">
        <v>44134</v>
      </c>
      <c r="G232" s="328">
        <v>44253</v>
      </c>
      <c r="H232" s="203">
        <v>1000000</v>
      </c>
      <c r="I232" s="513">
        <v>0</v>
      </c>
      <c r="J232" s="203">
        <v>998000</v>
      </c>
      <c r="K232" s="141"/>
      <c r="L232" s="203">
        <f t="shared" si="18"/>
        <v>249500</v>
      </c>
      <c r="M232" s="203">
        <f t="shared" si="19"/>
        <v>249500</v>
      </c>
      <c r="N232" s="203">
        <f t="shared" si="20"/>
        <v>249500</v>
      </c>
      <c r="O232" s="203">
        <f t="shared" si="21"/>
        <v>249500</v>
      </c>
      <c r="P232" s="153" t="s">
        <v>287</v>
      </c>
    </row>
    <row r="233" spans="1:16" s="31" customFormat="1" ht="31.5">
      <c r="A233" s="200">
        <v>13</v>
      </c>
      <c r="B233" s="158" t="s">
        <v>45</v>
      </c>
      <c r="C233" s="326" t="s">
        <v>95</v>
      </c>
      <c r="D233" s="170" t="s">
        <v>187</v>
      </c>
      <c r="E233" s="233" t="s">
        <v>96</v>
      </c>
      <c r="F233" s="328">
        <v>44056</v>
      </c>
      <c r="G233" s="328">
        <v>44595</v>
      </c>
      <c r="H233" s="203">
        <v>12000000</v>
      </c>
      <c r="I233" s="513">
        <v>0</v>
      </c>
      <c r="J233" s="203">
        <v>9000000</v>
      </c>
      <c r="K233" s="141"/>
      <c r="L233" s="203">
        <f t="shared" si="18"/>
        <v>2250000</v>
      </c>
      <c r="M233" s="203">
        <f t="shared" si="19"/>
        <v>2250000</v>
      </c>
      <c r="N233" s="203">
        <f t="shared" si="20"/>
        <v>2250000</v>
      </c>
      <c r="O233" s="203">
        <f t="shared" si="21"/>
        <v>2250000</v>
      </c>
      <c r="P233" s="153" t="s">
        <v>283</v>
      </c>
    </row>
    <row r="234" spans="1:16" s="31" customFormat="1" ht="31.5">
      <c r="A234" s="158">
        <v>14</v>
      </c>
      <c r="B234" s="158" t="s">
        <v>45</v>
      </c>
      <c r="C234" s="326" t="s">
        <v>93</v>
      </c>
      <c r="D234" s="170" t="s">
        <v>187</v>
      </c>
      <c r="E234" s="233" t="s">
        <v>275</v>
      </c>
      <c r="F234" s="328">
        <v>44155</v>
      </c>
      <c r="G234" s="328">
        <v>44424</v>
      </c>
      <c r="H234" s="203">
        <v>29000000</v>
      </c>
      <c r="I234" s="513">
        <v>0</v>
      </c>
      <c r="J234" s="203">
        <v>21000000</v>
      </c>
      <c r="K234" s="141"/>
      <c r="L234" s="203">
        <f t="shared" si="18"/>
        <v>5250000</v>
      </c>
      <c r="M234" s="203">
        <f t="shared" si="19"/>
        <v>5250000</v>
      </c>
      <c r="N234" s="203">
        <f t="shared" si="20"/>
        <v>5250000</v>
      </c>
      <c r="O234" s="203">
        <f t="shared" si="21"/>
        <v>5250000</v>
      </c>
      <c r="P234" s="153" t="s">
        <v>283</v>
      </c>
    </row>
    <row r="235" spans="1:16" s="31" customFormat="1" ht="63">
      <c r="A235" s="158">
        <v>15</v>
      </c>
      <c r="B235" s="158" t="s">
        <v>45</v>
      </c>
      <c r="C235" s="326" t="s">
        <v>94</v>
      </c>
      <c r="D235" s="170" t="s">
        <v>187</v>
      </c>
      <c r="E235" s="233" t="s">
        <v>70</v>
      </c>
      <c r="F235" s="328">
        <v>43554</v>
      </c>
      <c r="G235" s="328">
        <v>44553</v>
      </c>
      <c r="H235" s="203">
        <v>41000000</v>
      </c>
      <c r="I235" s="513">
        <v>557248.78</v>
      </c>
      <c r="J235" s="203">
        <v>34000000</v>
      </c>
      <c r="K235" s="141"/>
      <c r="L235" s="203">
        <f t="shared" si="18"/>
        <v>8500000</v>
      </c>
      <c r="M235" s="203">
        <f t="shared" si="19"/>
        <v>8500000</v>
      </c>
      <c r="N235" s="203">
        <f t="shared" si="20"/>
        <v>8500000</v>
      </c>
      <c r="O235" s="203">
        <f t="shared" si="21"/>
        <v>8500000</v>
      </c>
      <c r="P235" s="153" t="s">
        <v>283</v>
      </c>
    </row>
    <row r="236" spans="1:16" s="31" customFormat="1" ht="31.5">
      <c r="A236" s="200">
        <v>16</v>
      </c>
      <c r="B236" s="158" t="s">
        <v>45</v>
      </c>
      <c r="C236" s="326" t="s">
        <v>89</v>
      </c>
      <c r="D236" s="170" t="s">
        <v>187</v>
      </c>
      <c r="E236" s="233" t="s">
        <v>91</v>
      </c>
      <c r="F236" s="328">
        <v>44099</v>
      </c>
      <c r="G236" s="328">
        <v>44368</v>
      </c>
      <c r="H236" s="203">
        <v>7000000</v>
      </c>
      <c r="I236" s="513">
        <v>0</v>
      </c>
      <c r="J236" s="203">
        <v>5000000</v>
      </c>
      <c r="K236" s="141"/>
      <c r="L236" s="203">
        <f t="shared" si="18"/>
        <v>1250000</v>
      </c>
      <c r="M236" s="203">
        <f t="shared" si="19"/>
        <v>1250000</v>
      </c>
      <c r="N236" s="203">
        <f t="shared" si="20"/>
        <v>1250000</v>
      </c>
      <c r="O236" s="203">
        <f t="shared" si="21"/>
        <v>1250000</v>
      </c>
      <c r="P236" s="153" t="s">
        <v>283</v>
      </c>
    </row>
    <row r="237" spans="1:16" s="31" customFormat="1" ht="31.5">
      <c r="A237" s="158">
        <v>17</v>
      </c>
      <c r="B237" s="158" t="s">
        <v>45</v>
      </c>
      <c r="C237" s="326" t="s">
        <v>90</v>
      </c>
      <c r="D237" s="170" t="s">
        <v>187</v>
      </c>
      <c r="E237" s="233" t="s">
        <v>91</v>
      </c>
      <c r="F237" s="328">
        <v>44160</v>
      </c>
      <c r="G237" s="328">
        <v>44429</v>
      </c>
      <c r="H237" s="203">
        <v>7000000</v>
      </c>
      <c r="I237" s="513">
        <v>0</v>
      </c>
      <c r="J237" s="203">
        <v>5000000</v>
      </c>
      <c r="K237" s="141"/>
      <c r="L237" s="203">
        <f t="shared" si="18"/>
        <v>1250000</v>
      </c>
      <c r="M237" s="203">
        <f t="shared" si="19"/>
        <v>1250000</v>
      </c>
      <c r="N237" s="203">
        <f t="shared" si="20"/>
        <v>1250000</v>
      </c>
      <c r="O237" s="203">
        <f t="shared" si="21"/>
        <v>1250000</v>
      </c>
      <c r="P237" s="153" t="s">
        <v>283</v>
      </c>
    </row>
    <row r="238" spans="1:16" s="31" customFormat="1" ht="31.5">
      <c r="A238" s="158">
        <v>18</v>
      </c>
      <c r="B238" s="158" t="s">
        <v>45</v>
      </c>
      <c r="C238" s="326" t="s">
        <v>92</v>
      </c>
      <c r="D238" s="170" t="s">
        <v>187</v>
      </c>
      <c r="E238" s="233" t="s">
        <v>91</v>
      </c>
      <c r="F238" s="328">
        <v>44223</v>
      </c>
      <c r="G238" s="328">
        <v>44492</v>
      </c>
      <c r="H238" s="203">
        <v>7000000</v>
      </c>
      <c r="I238" s="513">
        <v>0</v>
      </c>
      <c r="J238" s="203">
        <v>5000000</v>
      </c>
      <c r="K238" s="141"/>
      <c r="L238" s="203">
        <f t="shared" si="18"/>
        <v>1250000</v>
      </c>
      <c r="M238" s="203">
        <f t="shared" si="19"/>
        <v>1250000</v>
      </c>
      <c r="N238" s="203">
        <f t="shared" si="20"/>
        <v>1250000</v>
      </c>
      <c r="O238" s="203">
        <f t="shared" si="21"/>
        <v>1250000</v>
      </c>
      <c r="P238" s="153" t="s">
        <v>283</v>
      </c>
    </row>
    <row r="239" spans="1:16" s="31" customFormat="1" ht="31.5">
      <c r="A239" s="200">
        <v>19</v>
      </c>
      <c r="B239" s="158" t="s">
        <v>45</v>
      </c>
      <c r="C239" s="326" t="s">
        <v>99</v>
      </c>
      <c r="D239" s="170" t="s">
        <v>187</v>
      </c>
      <c r="E239" s="233" t="s">
        <v>100</v>
      </c>
      <c r="F239" s="328">
        <v>44057</v>
      </c>
      <c r="G239" s="328">
        <v>44416</v>
      </c>
      <c r="H239" s="203">
        <v>20000000</v>
      </c>
      <c r="I239" s="513">
        <v>3458525.08</v>
      </c>
      <c r="J239" s="203">
        <v>10000000</v>
      </c>
      <c r="K239" s="141"/>
      <c r="L239" s="203">
        <f t="shared" si="18"/>
        <v>2500000</v>
      </c>
      <c r="M239" s="203">
        <f t="shared" si="19"/>
        <v>2500000</v>
      </c>
      <c r="N239" s="203">
        <f t="shared" si="20"/>
        <v>2500000</v>
      </c>
      <c r="O239" s="203">
        <f t="shared" si="21"/>
        <v>2500000</v>
      </c>
      <c r="P239" s="153" t="s">
        <v>283</v>
      </c>
    </row>
    <row r="240" spans="1:16" s="31" customFormat="1" ht="47.25">
      <c r="A240" s="158">
        <v>20</v>
      </c>
      <c r="B240" s="158" t="s">
        <v>45</v>
      </c>
      <c r="C240" s="326" t="s">
        <v>83</v>
      </c>
      <c r="D240" s="170" t="s">
        <v>187</v>
      </c>
      <c r="E240" s="233" t="s">
        <v>276</v>
      </c>
      <c r="F240" s="327">
        <v>2015</v>
      </c>
      <c r="G240" s="233">
        <v>2023</v>
      </c>
      <c r="H240" s="203">
        <v>42000000</v>
      </c>
      <c r="I240" s="513">
        <v>0</v>
      </c>
      <c r="J240" s="203">
        <v>3000000</v>
      </c>
      <c r="K240" s="141"/>
      <c r="L240" s="203">
        <f t="shared" si="18"/>
        <v>750000</v>
      </c>
      <c r="M240" s="203">
        <f t="shared" si="19"/>
        <v>750000</v>
      </c>
      <c r="N240" s="203">
        <f t="shared" si="20"/>
        <v>750000</v>
      </c>
      <c r="O240" s="203">
        <f t="shared" si="21"/>
        <v>750000</v>
      </c>
      <c r="P240" s="153" t="s">
        <v>285</v>
      </c>
    </row>
    <row r="241" spans="1:16" s="31" customFormat="1" ht="34.5" customHeight="1">
      <c r="A241" s="158">
        <v>21</v>
      </c>
      <c r="B241" s="158" t="s">
        <v>45</v>
      </c>
      <c r="C241" s="326" t="s">
        <v>262</v>
      </c>
      <c r="D241" s="170" t="s">
        <v>187</v>
      </c>
      <c r="E241" s="233" t="s">
        <v>69</v>
      </c>
      <c r="F241" s="327">
        <v>2015</v>
      </c>
      <c r="G241" s="233">
        <v>2023</v>
      </c>
      <c r="H241" s="203">
        <v>34000000</v>
      </c>
      <c r="I241" s="513">
        <v>0</v>
      </c>
      <c r="J241" s="203">
        <v>5000000</v>
      </c>
      <c r="K241" s="141"/>
      <c r="L241" s="203">
        <f t="shared" si="18"/>
        <v>1250000</v>
      </c>
      <c r="M241" s="203">
        <f t="shared" si="19"/>
        <v>1250000</v>
      </c>
      <c r="N241" s="203">
        <f t="shared" si="20"/>
        <v>1250000</v>
      </c>
      <c r="O241" s="203">
        <f t="shared" si="21"/>
        <v>1250000</v>
      </c>
      <c r="P241" s="153" t="s">
        <v>285</v>
      </c>
    </row>
    <row r="242" spans="1:16" s="31" customFormat="1" ht="34.5" customHeight="1">
      <c r="A242" s="200">
        <v>22</v>
      </c>
      <c r="B242" s="158" t="s">
        <v>45</v>
      </c>
      <c r="C242" s="326" t="s">
        <v>75</v>
      </c>
      <c r="D242" s="170" t="s">
        <v>187</v>
      </c>
      <c r="E242" s="233" t="s">
        <v>277</v>
      </c>
      <c r="F242" s="327">
        <v>2016</v>
      </c>
      <c r="G242" s="233">
        <v>2023</v>
      </c>
      <c r="H242" s="203">
        <v>54000000</v>
      </c>
      <c r="I242" s="513">
        <v>0</v>
      </c>
      <c r="J242" s="203">
        <v>2000</v>
      </c>
      <c r="K242" s="141"/>
      <c r="L242" s="203">
        <f t="shared" si="18"/>
        <v>500</v>
      </c>
      <c r="M242" s="203">
        <f t="shared" si="19"/>
        <v>500</v>
      </c>
      <c r="N242" s="203">
        <f t="shared" si="20"/>
        <v>500</v>
      </c>
      <c r="O242" s="203">
        <f t="shared" si="21"/>
        <v>500</v>
      </c>
      <c r="P242" s="153" t="s">
        <v>285</v>
      </c>
    </row>
    <row r="243" spans="1:16" s="31" customFormat="1" ht="34.5" customHeight="1">
      <c r="A243" s="158">
        <v>23</v>
      </c>
      <c r="B243" s="158" t="s">
        <v>45</v>
      </c>
      <c r="C243" s="326" t="s">
        <v>84</v>
      </c>
      <c r="D243" s="170" t="s">
        <v>187</v>
      </c>
      <c r="E243" s="233" t="s">
        <v>85</v>
      </c>
      <c r="F243" s="327">
        <v>2016</v>
      </c>
      <c r="G243" s="233">
        <v>2022</v>
      </c>
      <c r="H243" s="203">
        <v>31000000</v>
      </c>
      <c r="I243" s="513">
        <v>0</v>
      </c>
      <c r="J243" s="203">
        <v>6000000</v>
      </c>
      <c r="K243" s="141"/>
      <c r="L243" s="203">
        <f t="shared" si="18"/>
        <v>1500000</v>
      </c>
      <c r="M243" s="203">
        <f t="shared" si="19"/>
        <v>1500000</v>
      </c>
      <c r="N243" s="203">
        <f t="shared" si="20"/>
        <v>1500000</v>
      </c>
      <c r="O243" s="203">
        <f t="shared" si="21"/>
        <v>1500000</v>
      </c>
      <c r="P243" s="153" t="s">
        <v>285</v>
      </c>
    </row>
    <row r="244" spans="1:16" s="31" customFormat="1" ht="34.5" customHeight="1">
      <c r="A244" s="158">
        <v>24</v>
      </c>
      <c r="B244" s="158" t="s">
        <v>45</v>
      </c>
      <c r="C244" s="326" t="s">
        <v>87</v>
      </c>
      <c r="D244" s="170" t="s">
        <v>187</v>
      </c>
      <c r="E244" s="233" t="s">
        <v>88</v>
      </c>
      <c r="F244" s="328">
        <v>44183</v>
      </c>
      <c r="G244" s="328">
        <v>44602</v>
      </c>
      <c r="H244" s="203">
        <v>65000000</v>
      </c>
      <c r="I244" s="513">
        <v>0</v>
      </c>
      <c r="J244" s="203">
        <v>11506000</v>
      </c>
      <c r="K244" s="141"/>
      <c r="L244" s="203">
        <f t="shared" si="18"/>
        <v>2876500</v>
      </c>
      <c r="M244" s="203">
        <f t="shared" si="19"/>
        <v>2876500</v>
      </c>
      <c r="N244" s="203">
        <f t="shared" si="20"/>
        <v>2876500</v>
      </c>
      <c r="O244" s="203">
        <f t="shared" si="21"/>
        <v>2876500</v>
      </c>
      <c r="P244" s="153" t="s">
        <v>283</v>
      </c>
    </row>
    <row r="245" spans="1:16" s="31" customFormat="1" ht="47.25">
      <c r="A245" s="200">
        <v>25</v>
      </c>
      <c r="B245" s="158" t="s">
        <v>45</v>
      </c>
      <c r="C245" s="326" t="s">
        <v>97</v>
      </c>
      <c r="D245" s="170" t="s">
        <v>187</v>
      </c>
      <c r="E245" s="233" t="s">
        <v>276</v>
      </c>
      <c r="F245" s="327">
        <v>2018</v>
      </c>
      <c r="G245" s="233">
        <v>2023</v>
      </c>
      <c r="H245" s="203">
        <v>40000000</v>
      </c>
      <c r="I245" s="513">
        <v>0</v>
      </c>
      <c r="J245" s="203">
        <v>2000</v>
      </c>
      <c r="K245" s="141"/>
      <c r="L245" s="203">
        <f t="shared" si="18"/>
        <v>500</v>
      </c>
      <c r="M245" s="203">
        <f t="shared" si="19"/>
        <v>500</v>
      </c>
      <c r="N245" s="203">
        <f t="shared" si="20"/>
        <v>500</v>
      </c>
      <c r="O245" s="203">
        <f t="shared" si="21"/>
        <v>500</v>
      </c>
      <c r="P245" s="153" t="s">
        <v>285</v>
      </c>
    </row>
    <row r="246" spans="1:16" s="31" customFormat="1" ht="34.5" customHeight="1">
      <c r="A246" s="158">
        <v>26</v>
      </c>
      <c r="B246" s="158" t="s">
        <v>45</v>
      </c>
      <c r="C246" s="326" t="s">
        <v>98</v>
      </c>
      <c r="D246" s="170" t="s">
        <v>187</v>
      </c>
      <c r="E246" s="233" t="s">
        <v>278</v>
      </c>
      <c r="F246" s="327">
        <v>2018</v>
      </c>
      <c r="G246" s="233">
        <v>2023</v>
      </c>
      <c r="H246" s="203">
        <v>42000000</v>
      </c>
      <c r="I246" s="513">
        <v>0</v>
      </c>
      <c r="J246" s="203">
        <v>2000</v>
      </c>
      <c r="K246" s="141"/>
      <c r="L246" s="203">
        <f t="shared" si="18"/>
        <v>500</v>
      </c>
      <c r="M246" s="203">
        <f t="shared" si="19"/>
        <v>500</v>
      </c>
      <c r="N246" s="203">
        <f t="shared" si="20"/>
        <v>500</v>
      </c>
      <c r="O246" s="203">
        <f t="shared" si="21"/>
        <v>500</v>
      </c>
      <c r="P246" s="153" t="s">
        <v>288</v>
      </c>
    </row>
    <row r="247" spans="1:16" s="31" customFormat="1" ht="34.5" customHeight="1">
      <c r="A247" s="158">
        <v>27</v>
      </c>
      <c r="B247" s="158" t="s">
        <v>45</v>
      </c>
      <c r="C247" s="326" t="s">
        <v>80</v>
      </c>
      <c r="D247" s="170" t="s">
        <v>187</v>
      </c>
      <c r="E247" s="233" t="s">
        <v>81</v>
      </c>
      <c r="F247" s="327">
        <v>2018</v>
      </c>
      <c r="G247" s="233">
        <v>2022</v>
      </c>
      <c r="H247" s="203">
        <v>19000000</v>
      </c>
      <c r="I247" s="513">
        <v>0</v>
      </c>
      <c r="J247" s="203">
        <v>1900000</v>
      </c>
      <c r="K247" s="141"/>
      <c r="L247" s="203">
        <f t="shared" si="18"/>
        <v>475000</v>
      </c>
      <c r="M247" s="203">
        <f t="shared" si="19"/>
        <v>475000</v>
      </c>
      <c r="N247" s="203">
        <f t="shared" si="20"/>
        <v>475000</v>
      </c>
      <c r="O247" s="203">
        <f t="shared" si="21"/>
        <v>475000</v>
      </c>
      <c r="P247" s="153" t="s">
        <v>285</v>
      </c>
    </row>
    <row r="248" spans="1:16" s="31" customFormat="1" ht="34.5" customHeight="1">
      <c r="A248" s="200">
        <v>28</v>
      </c>
      <c r="B248" s="158" t="s">
        <v>45</v>
      </c>
      <c r="C248" s="326" t="s">
        <v>101</v>
      </c>
      <c r="D248" s="170" t="s">
        <v>187</v>
      </c>
      <c r="E248" s="233" t="s">
        <v>102</v>
      </c>
      <c r="F248" s="327">
        <v>2018</v>
      </c>
      <c r="G248" s="233">
        <v>2022</v>
      </c>
      <c r="H248" s="203">
        <v>40000000</v>
      </c>
      <c r="I248" s="513">
        <v>0</v>
      </c>
      <c r="J248" s="203">
        <v>4000000</v>
      </c>
      <c r="K248" s="141"/>
      <c r="L248" s="203">
        <f t="shared" si="18"/>
        <v>1000000</v>
      </c>
      <c r="M248" s="203">
        <f t="shared" si="19"/>
        <v>1000000</v>
      </c>
      <c r="N248" s="203">
        <f t="shared" si="20"/>
        <v>1000000</v>
      </c>
      <c r="O248" s="203">
        <f t="shared" si="21"/>
        <v>1000000</v>
      </c>
      <c r="P248" s="153" t="s">
        <v>285</v>
      </c>
    </row>
    <row r="249" spans="1:16" s="31" customFormat="1" ht="34.5" customHeight="1">
      <c r="A249" s="158">
        <v>29</v>
      </c>
      <c r="B249" s="158" t="s">
        <v>45</v>
      </c>
      <c r="C249" s="326" t="s">
        <v>103</v>
      </c>
      <c r="D249" s="170" t="s">
        <v>187</v>
      </c>
      <c r="E249" s="233" t="s">
        <v>104</v>
      </c>
      <c r="F249" s="327">
        <v>2018</v>
      </c>
      <c r="G249" s="233">
        <v>2023</v>
      </c>
      <c r="H249" s="203">
        <v>7000000</v>
      </c>
      <c r="I249" s="513">
        <v>0</v>
      </c>
      <c r="J249" s="203">
        <v>2000</v>
      </c>
      <c r="K249" s="141"/>
      <c r="L249" s="203">
        <f t="shared" si="18"/>
        <v>500</v>
      </c>
      <c r="M249" s="203">
        <f t="shared" si="19"/>
        <v>500</v>
      </c>
      <c r="N249" s="203">
        <f t="shared" si="20"/>
        <v>500</v>
      </c>
      <c r="O249" s="203">
        <f t="shared" si="21"/>
        <v>500</v>
      </c>
      <c r="P249" s="153" t="s">
        <v>285</v>
      </c>
    </row>
    <row r="250" spans="1:16" s="31" customFormat="1" ht="34.5" customHeight="1">
      <c r="A250" s="158">
        <v>30</v>
      </c>
      <c r="B250" s="158" t="s">
        <v>45</v>
      </c>
      <c r="C250" s="326" t="s">
        <v>263</v>
      </c>
      <c r="D250" s="170" t="s">
        <v>187</v>
      </c>
      <c r="E250" s="233" t="s">
        <v>279</v>
      </c>
      <c r="F250" s="327">
        <v>2018</v>
      </c>
      <c r="G250" s="233">
        <v>2023</v>
      </c>
      <c r="H250" s="203">
        <v>22000000</v>
      </c>
      <c r="I250" s="513">
        <v>0</v>
      </c>
      <c r="J250" s="203">
        <v>2000</v>
      </c>
      <c r="K250" s="141"/>
      <c r="L250" s="203">
        <f t="shared" si="18"/>
        <v>500</v>
      </c>
      <c r="M250" s="203">
        <f t="shared" si="19"/>
        <v>500</v>
      </c>
      <c r="N250" s="203">
        <f t="shared" si="20"/>
        <v>500</v>
      </c>
      <c r="O250" s="203">
        <f t="shared" si="21"/>
        <v>500</v>
      </c>
      <c r="P250" s="153" t="s">
        <v>285</v>
      </c>
    </row>
    <row r="251" spans="1:16" s="31" customFormat="1" ht="34.5" customHeight="1">
      <c r="A251" s="200">
        <v>31</v>
      </c>
      <c r="B251" s="158" t="s">
        <v>45</v>
      </c>
      <c r="C251" s="326" t="s">
        <v>105</v>
      </c>
      <c r="D251" s="170" t="s">
        <v>187</v>
      </c>
      <c r="E251" s="233" t="s">
        <v>85</v>
      </c>
      <c r="F251" s="327">
        <v>2018</v>
      </c>
      <c r="G251" s="233">
        <v>2023</v>
      </c>
      <c r="H251" s="203">
        <v>24000000</v>
      </c>
      <c r="I251" s="513">
        <v>0</v>
      </c>
      <c r="J251" s="203">
        <v>2000</v>
      </c>
      <c r="K251" s="141"/>
      <c r="L251" s="203">
        <f t="shared" si="18"/>
        <v>500</v>
      </c>
      <c r="M251" s="203">
        <f t="shared" si="19"/>
        <v>500</v>
      </c>
      <c r="N251" s="203">
        <f t="shared" si="20"/>
        <v>500</v>
      </c>
      <c r="O251" s="203">
        <f t="shared" si="21"/>
        <v>500</v>
      </c>
      <c r="P251" s="153" t="s">
        <v>285</v>
      </c>
    </row>
    <row r="252" spans="1:16" s="31" customFormat="1" ht="34.5" customHeight="1">
      <c r="A252" s="158">
        <v>32</v>
      </c>
      <c r="B252" s="158" t="s">
        <v>45</v>
      </c>
      <c r="C252" s="326" t="s">
        <v>264</v>
      </c>
      <c r="D252" s="170" t="s">
        <v>187</v>
      </c>
      <c r="E252" s="233" t="s">
        <v>280</v>
      </c>
      <c r="F252" s="327">
        <v>2018</v>
      </c>
      <c r="G252" s="233">
        <v>2023</v>
      </c>
      <c r="H252" s="203">
        <v>14000000</v>
      </c>
      <c r="I252" s="513">
        <v>0</v>
      </c>
      <c r="J252" s="203">
        <v>2000</v>
      </c>
      <c r="K252" s="141"/>
      <c r="L252" s="203">
        <f t="shared" si="18"/>
        <v>500</v>
      </c>
      <c r="M252" s="203">
        <f t="shared" si="19"/>
        <v>500</v>
      </c>
      <c r="N252" s="203">
        <f t="shared" si="20"/>
        <v>500</v>
      </c>
      <c r="O252" s="203">
        <f t="shared" si="21"/>
        <v>500</v>
      </c>
      <c r="P252" s="153" t="s">
        <v>285</v>
      </c>
    </row>
    <row r="253" spans="1:16" s="31" customFormat="1" ht="47.25">
      <c r="A253" s="158">
        <v>33</v>
      </c>
      <c r="B253" s="158" t="s">
        <v>45</v>
      </c>
      <c r="C253" s="326" t="s">
        <v>265</v>
      </c>
      <c r="D253" s="170" t="s">
        <v>187</v>
      </c>
      <c r="E253" s="233" t="s">
        <v>276</v>
      </c>
      <c r="F253" s="327">
        <v>2020</v>
      </c>
      <c r="G253" s="233">
        <v>2023</v>
      </c>
      <c r="H253" s="203">
        <v>40000000</v>
      </c>
      <c r="I253" s="513">
        <v>0</v>
      </c>
      <c r="J253" s="203">
        <v>2000</v>
      </c>
      <c r="K253" s="141"/>
      <c r="L253" s="203">
        <f t="shared" si="18"/>
        <v>500</v>
      </c>
      <c r="M253" s="203">
        <f t="shared" si="19"/>
        <v>500</v>
      </c>
      <c r="N253" s="203">
        <f t="shared" si="20"/>
        <v>500</v>
      </c>
      <c r="O253" s="203">
        <f t="shared" si="21"/>
        <v>500</v>
      </c>
      <c r="P253" s="153" t="s">
        <v>285</v>
      </c>
    </row>
    <row r="254" spans="1:16" s="31" customFormat="1" ht="39" customHeight="1">
      <c r="A254" s="200">
        <v>34</v>
      </c>
      <c r="B254" s="158" t="s">
        <v>45</v>
      </c>
      <c r="C254" s="326" t="s">
        <v>266</v>
      </c>
      <c r="D254" s="170" t="s">
        <v>187</v>
      </c>
      <c r="E254" s="233" t="s">
        <v>281</v>
      </c>
      <c r="F254" s="327">
        <v>2020</v>
      </c>
      <c r="G254" s="233">
        <v>2023</v>
      </c>
      <c r="H254" s="203">
        <v>20000000</v>
      </c>
      <c r="I254" s="513">
        <v>0</v>
      </c>
      <c r="J254" s="203">
        <v>2000</v>
      </c>
      <c r="K254" s="141"/>
      <c r="L254" s="203">
        <f t="shared" si="18"/>
        <v>500</v>
      </c>
      <c r="M254" s="203">
        <f t="shared" si="19"/>
        <v>500</v>
      </c>
      <c r="N254" s="203">
        <f t="shared" si="20"/>
        <v>500</v>
      </c>
      <c r="O254" s="203">
        <f t="shared" si="21"/>
        <v>500</v>
      </c>
      <c r="P254" s="153" t="s">
        <v>285</v>
      </c>
    </row>
    <row r="255" spans="1:16" s="31" customFormat="1" ht="34.5" customHeight="1" thickBot="1">
      <c r="A255" s="158">
        <v>35</v>
      </c>
      <c r="B255" s="158" t="s">
        <v>45</v>
      </c>
      <c r="C255" s="326" t="s">
        <v>267</v>
      </c>
      <c r="D255" s="170" t="s">
        <v>187</v>
      </c>
      <c r="E255" s="233" t="s">
        <v>282</v>
      </c>
      <c r="F255" s="327">
        <v>2021</v>
      </c>
      <c r="G255" s="233">
        <v>2023</v>
      </c>
      <c r="H255" s="203">
        <v>6000000</v>
      </c>
      <c r="I255" s="513">
        <v>0</v>
      </c>
      <c r="J255" s="203">
        <v>120000</v>
      </c>
      <c r="K255" s="141"/>
      <c r="L255" s="203">
        <f t="shared" si="18"/>
        <v>30000</v>
      </c>
      <c r="M255" s="203">
        <f t="shared" si="19"/>
        <v>30000</v>
      </c>
      <c r="N255" s="203">
        <f t="shared" si="20"/>
        <v>30000</v>
      </c>
      <c r="O255" s="203">
        <f t="shared" si="21"/>
        <v>30000</v>
      </c>
      <c r="P255" s="153" t="s">
        <v>285</v>
      </c>
    </row>
    <row r="256" spans="1:16" s="33" customFormat="1" ht="30" customHeight="1" thickBot="1">
      <c r="A256" s="668" t="s">
        <v>20</v>
      </c>
      <c r="B256" s="669"/>
      <c r="C256" s="669"/>
      <c r="D256" s="669"/>
      <c r="E256" s="669"/>
      <c r="F256" s="669"/>
      <c r="G256" s="670"/>
      <c r="H256" s="220">
        <f t="shared" ref="H256:O256" si="22">SUM(H221:H255)</f>
        <v>1323600000</v>
      </c>
      <c r="I256" s="220">
        <f t="shared" si="22"/>
        <v>11742761.68</v>
      </c>
      <c r="J256" s="220">
        <f t="shared" si="22"/>
        <v>184294000</v>
      </c>
      <c r="K256" s="220">
        <f t="shared" si="22"/>
        <v>0</v>
      </c>
      <c r="L256" s="220">
        <f t="shared" si="22"/>
        <v>46073500</v>
      </c>
      <c r="M256" s="220">
        <f t="shared" si="22"/>
        <v>46073500</v>
      </c>
      <c r="N256" s="220">
        <f t="shared" si="22"/>
        <v>46073500</v>
      </c>
      <c r="O256" s="220">
        <f t="shared" si="22"/>
        <v>46073500</v>
      </c>
      <c r="P256" s="118"/>
    </row>
    <row r="257" spans="1:21" ht="15.75" thickBot="1">
      <c r="A257" s="671"/>
      <c r="B257" s="672"/>
      <c r="C257" s="672"/>
      <c r="D257" s="672"/>
      <c r="E257" s="672"/>
      <c r="F257" s="672"/>
      <c r="G257" s="672"/>
      <c r="H257" s="672"/>
      <c r="I257" s="672"/>
      <c r="J257" s="672"/>
      <c r="K257" s="672"/>
      <c r="L257" s="672"/>
      <c r="M257" s="672"/>
      <c r="N257" s="672"/>
      <c r="O257" s="672"/>
      <c r="P257" s="673"/>
    </row>
    <row r="258" spans="1:21" s="18" customFormat="1" ht="30" customHeight="1" thickBot="1">
      <c r="A258" s="652" t="s">
        <v>68</v>
      </c>
      <c r="B258" s="653"/>
      <c r="C258" s="653"/>
      <c r="D258" s="653"/>
      <c r="E258" s="653"/>
      <c r="F258" s="653"/>
      <c r="G258" s="653"/>
      <c r="H258" s="653"/>
      <c r="I258" s="653"/>
      <c r="J258" s="653"/>
      <c r="K258" s="653"/>
      <c r="L258" s="653"/>
      <c r="M258" s="653"/>
      <c r="N258" s="653"/>
      <c r="O258" s="653"/>
      <c r="P258" s="654"/>
      <c r="U258" s="354"/>
    </row>
    <row r="259" spans="1:21" s="31" customFormat="1" ht="31.5">
      <c r="A259" s="200">
        <v>1</v>
      </c>
      <c r="B259" s="200" t="s">
        <v>45</v>
      </c>
      <c r="C259" s="348" t="s">
        <v>1801</v>
      </c>
      <c r="D259" s="152" t="s">
        <v>197</v>
      </c>
      <c r="E259" s="152" t="s">
        <v>1802</v>
      </c>
      <c r="F259" s="152">
        <v>2016</v>
      </c>
      <c r="G259" s="202">
        <v>2021</v>
      </c>
      <c r="H259" s="349">
        <v>70000000</v>
      </c>
      <c r="I259" s="350">
        <v>64087549</v>
      </c>
      <c r="J259" s="203">
        <v>5000000</v>
      </c>
      <c r="K259" s="152" t="s">
        <v>108</v>
      </c>
      <c r="L259" s="145">
        <v>1659330</v>
      </c>
      <c r="M259" s="145">
        <v>835168</v>
      </c>
      <c r="N259" s="145">
        <v>835168</v>
      </c>
      <c r="O259" s="145">
        <v>835168</v>
      </c>
      <c r="P259" s="366"/>
    </row>
    <row r="260" spans="1:21" s="31" customFormat="1" ht="48" thickBot="1">
      <c r="A260" s="158">
        <v>2</v>
      </c>
      <c r="B260" s="158" t="s">
        <v>45</v>
      </c>
      <c r="C260" s="340" t="s">
        <v>1803</v>
      </c>
      <c r="D260" s="340" t="s">
        <v>1453</v>
      </c>
      <c r="E260" s="546" t="s">
        <v>1804</v>
      </c>
      <c r="F260" s="340">
        <v>2017</v>
      </c>
      <c r="G260" s="351">
        <v>2021</v>
      </c>
      <c r="H260" s="352">
        <v>52243000</v>
      </c>
      <c r="I260" s="353">
        <v>0</v>
      </c>
      <c r="J260" s="145">
        <v>10000000</v>
      </c>
      <c r="K260" s="351" t="s">
        <v>108</v>
      </c>
      <c r="L260" s="145">
        <v>2500000</v>
      </c>
      <c r="M260" s="145">
        <v>2500000</v>
      </c>
      <c r="N260" s="145">
        <v>2500000</v>
      </c>
      <c r="O260" s="145">
        <v>2500000</v>
      </c>
      <c r="P260" s="140"/>
    </row>
    <row r="261" spans="1:21" s="111" customFormat="1" ht="30" customHeight="1" thickBot="1">
      <c r="A261" s="668" t="s">
        <v>20</v>
      </c>
      <c r="B261" s="669"/>
      <c r="C261" s="669"/>
      <c r="D261" s="669"/>
      <c r="E261" s="669"/>
      <c r="F261" s="669"/>
      <c r="G261" s="670"/>
      <c r="H261" s="146">
        <f t="shared" ref="H261:O261" si="23">SUM(H259:H260)</f>
        <v>122243000</v>
      </c>
      <c r="I261" s="146">
        <f t="shared" si="23"/>
        <v>64087549</v>
      </c>
      <c r="J261" s="146">
        <f t="shared" si="23"/>
        <v>15000000</v>
      </c>
      <c r="K261" s="146">
        <f t="shared" si="23"/>
        <v>0</v>
      </c>
      <c r="L261" s="146">
        <f t="shared" si="23"/>
        <v>4159330</v>
      </c>
      <c r="M261" s="146">
        <f t="shared" si="23"/>
        <v>3335168</v>
      </c>
      <c r="N261" s="146">
        <f t="shared" si="23"/>
        <v>3335168</v>
      </c>
      <c r="O261" s="146">
        <f t="shared" si="23"/>
        <v>3335168</v>
      </c>
      <c r="P261" s="118"/>
    </row>
    <row r="262" spans="1:21" ht="15.75" thickBot="1">
      <c r="A262" s="671"/>
      <c r="B262" s="672"/>
      <c r="C262" s="672"/>
      <c r="D262" s="672"/>
      <c r="E262" s="672"/>
      <c r="F262" s="672"/>
      <c r="G262" s="672"/>
      <c r="H262" s="672"/>
      <c r="I262" s="672"/>
      <c r="J262" s="672"/>
      <c r="K262" s="672"/>
      <c r="L262" s="672"/>
      <c r="M262" s="672"/>
      <c r="N262" s="672"/>
      <c r="O262" s="672"/>
      <c r="P262" s="673"/>
    </row>
    <row r="263" spans="1:21" ht="30" customHeight="1" thickBot="1">
      <c r="A263" s="652" t="s">
        <v>1748</v>
      </c>
      <c r="B263" s="653"/>
      <c r="C263" s="653"/>
      <c r="D263" s="653"/>
      <c r="E263" s="653"/>
      <c r="F263" s="653"/>
      <c r="G263" s="653"/>
      <c r="H263" s="653"/>
      <c r="I263" s="653"/>
      <c r="J263" s="653"/>
      <c r="K263" s="653"/>
      <c r="L263" s="653"/>
      <c r="M263" s="653"/>
      <c r="N263" s="653"/>
      <c r="O263" s="653"/>
      <c r="P263" s="654"/>
    </row>
    <row r="264" spans="1:21" s="7" customFormat="1" ht="31.5">
      <c r="A264" s="329">
        <v>1</v>
      </c>
      <c r="B264" s="200" t="s">
        <v>36</v>
      </c>
      <c r="C264" s="244" t="s">
        <v>1185</v>
      </c>
      <c r="D264" s="245" t="s">
        <v>1186</v>
      </c>
      <c r="E264" s="171" t="s">
        <v>1171</v>
      </c>
      <c r="F264" s="246">
        <v>43552</v>
      </c>
      <c r="G264" s="246">
        <v>44013</v>
      </c>
      <c r="H264" s="511">
        <v>92119836.719999999</v>
      </c>
      <c r="I264" s="213">
        <v>79876855.480000004</v>
      </c>
      <c r="J264" s="210">
        <v>12242981.24</v>
      </c>
      <c r="K264" s="210">
        <v>12242981.24</v>
      </c>
      <c r="L264" s="210"/>
      <c r="M264" s="210"/>
      <c r="N264" s="547"/>
      <c r="O264" s="548"/>
      <c r="P264" s="330"/>
    </row>
    <row r="265" spans="1:21" s="7" customFormat="1" ht="30.75" customHeight="1">
      <c r="A265" s="331">
        <v>2</v>
      </c>
      <c r="B265" s="200" t="s">
        <v>36</v>
      </c>
      <c r="C265" s="244" t="s">
        <v>1187</v>
      </c>
      <c r="D265" s="245" t="s">
        <v>198</v>
      </c>
      <c r="E265" s="171" t="s">
        <v>1171</v>
      </c>
      <c r="F265" s="246">
        <v>43776</v>
      </c>
      <c r="G265" s="246">
        <v>44288</v>
      </c>
      <c r="H265" s="168">
        <v>17695032.539999999</v>
      </c>
      <c r="I265" s="213">
        <v>15141200.300000001</v>
      </c>
      <c r="J265" s="210">
        <v>2558799.7000000002</v>
      </c>
      <c r="K265" s="210">
        <v>1279399.8500000001</v>
      </c>
      <c r="L265" s="210">
        <v>1279399.8500000001</v>
      </c>
      <c r="M265" s="210"/>
      <c r="N265" s="549"/>
      <c r="O265" s="550"/>
      <c r="P265" s="332"/>
    </row>
    <row r="266" spans="1:21" s="7" customFormat="1" ht="31.5">
      <c r="A266" s="331">
        <v>3</v>
      </c>
      <c r="B266" s="200" t="s">
        <v>36</v>
      </c>
      <c r="C266" s="244" t="s">
        <v>1188</v>
      </c>
      <c r="D266" s="245" t="s">
        <v>1189</v>
      </c>
      <c r="E266" s="171"/>
      <c r="F266" s="174">
        <v>44099</v>
      </c>
      <c r="G266" s="174">
        <v>44278</v>
      </c>
      <c r="H266" s="168">
        <v>18935981.609999999</v>
      </c>
      <c r="I266" s="213">
        <v>10483822.789999999</v>
      </c>
      <c r="J266" s="210">
        <v>10802087.42</v>
      </c>
      <c r="K266" s="210">
        <v>10802087.42</v>
      </c>
      <c r="L266" s="213"/>
      <c r="M266" s="210"/>
      <c r="N266" s="549"/>
      <c r="O266" s="550"/>
      <c r="P266" s="332"/>
    </row>
    <row r="267" spans="1:21" s="7" customFormat="1" ht="31.5">
      <c r="A267" s="329">
        <v>4</v>
      </c>
      <c r="B267" s="200" t="s">
        <v>36</v>
      </c>
      <c r="C267" s="223" t="s">
        <v>1190</v>
      </c>
      <c r="D267" s="245" t="s">
        <v>1191</v>
      </c>
      <c r="E267" s="171" t="s">
        <v>1171</v>
      </c>
      <c r="F267" s="162">
        <v>44078</v>
      </c>
      <c r="G267" s="162">
        <v>44437</v>
      </c>
      <c r="H267" s="210">
        <v>22255980</v>
      </c>
      <c r="I267" s="213"/>
      <c r="J267" s="210">
        <v>22255980</v>
      </c>
      <c r="K267" s="210">
        <v>7418660</v>
      </c>
      <c r="L267" s="210">
        <v>7418660</v>
      </c>
      <c r="M267" s="210">
        <v>7418660</v>
      </c>
      <c r="N267" s="549"/>
      <c r="O267" s="550"/>
      <c r="P267" s="332"/>
    </row>
    <row r="268" spans="1:21" s="7" customFormat="1" ht="33" customHeight="1">
      <c r="A268" s="331">
        <v>5</v>
      </c>
      <c r="B268" s="200" t="s">
        <v>36</v>
      </c>
      <c r="C268" s="223" t="s">
        <v>1192</v>
      </c>
      <c r="D268" s="245" t="s">
        <v>1193</v>
      </c>
      <c r="E268" s="171" t="s">
        <v>1194</v>
      </c>
      <c r="F268" s="162">
        <v>44093</v>
      </c>
      <c r="G268" s="162">
        <v>44451</v>
      </c>
      <c r="H268" s="210">
        <v>19505400</v>
      </c>
      <c r="I268" s="213">
        <v>5543954.2999999998</v>
      </c>
      <c r="J268" s="210">
        <v>13961445.699999999</v>
      </c>
      <c r="K268" s="210">
        <v>4653815.2300000004</v>
      </c>
      <c r="L268" s="210">
        <v>4653815.2300000004</v>
      </c>
      <c r="M268" s="210">
        <v>4653815.24</v>
      </c>
      <c r="N268" s="549"/>
      <c r="O268" s="550"/>
      <c r="P268" s="332"/>
    </row>
    <row r="269" spans="1:21" s="7" customFormat="1" ht="31.5">
      <c r="A269" s="331">
        <v>6</v>
      </c>
      <c r="B269" s="200" t="s">
        <v>36</v>
      </c>
      <c r="C269" s="223" t="s">
        <v>1195</v>
      </c>
      <c r="D269" s="245" t="s">
        <v>716</v>
      </c>
      <c r="E269" s="171"/>
      <c r="F269" s="156">
        <v>44141</v>
      </c>
      <c r="G269" s="156">
        <v>44230</v>
      </c>
      <c r="H269" s="210">
        <v>477575.65</v>
      </c>
      <c r="I269" s="213">
        <v>358765.38</v>
      </c>
      <c r="J269" s="210">
        <v>125034.62</v>
      </c>
      <c r="K269" s="210">
        <v>125034.62</v>
      </c>
      <c r="L269" s="504"/>
      <c r="M269" s="504"/>
      <c r="N269" s="549"/>
      <c r="O269" s="550"/>
      <c r="P269" s="332"/>
    </row>
    <row r="270" spans="1:21" s="7" customFormat="1" ht="31.5">
      <c r="A270" s="329">
        <v>7</v>
      </c>
      <c r="B270" s="200" t="s">
        <v>36</v>
      </c>
      <c r="C270" s="223" t="s">
        <v>1196</v>
      </c>
      <c r="D270" s="245" t="s">
        <v>1197</v>
      </c>
      <c r="E270" s="245"/>
      <c r="F270" s="156">
        <v>44162</v>
      </c>
      <c r="G270" s="156">
        <v>44207</v>
      </c>
      <c r="H270" s="210">
        <v>769889.6</v>
      </c>
      <c r="I270" s="213"/>
      <c r="J270" s="210">
        <v>735140</v>
      </c>
      <c r="K270" s="210">
        <v>735140</v>
      </c>
      <c r="L270" s="504"/>
      <c r="M270" s="504"/>
      <c r="N270" s="549"/>
      <c r="O270" s="550"/>
      <c r="P270" s="332"/>
    </row>
    <row r="271" spans="1:21" s="7" customFormat="1" ht="31.5">
      <c r="A271" s="331">
        <v>8</v>
      </c>
      <c r="B271" s="200" t="s">
        <v>36</v>
      </c>
      <c r="C271" s="223" t="s">
        <v>1198</v>
      </c>
      <c r="D271" s="245" t="s">
        <v>1199</v>
      </c>
      <c r="E271" s="245"/>
      <c r="F271" s="156">
        <v>44162</v>
      </c>
      <c r="G271" s="156">
        <v>44261</v>
      </c>
      <c r="H271" s="210">
        <v>1212934.01</v>
      </c>
      <c r="I271" s="210"/>
      <c r="J271" s="210">
        <v>1108020</v>
      </c>
      <c r="K271" s="210">
        <v>1108020</v>
      </c>
      <c r="L271" s="504"/>
      <c r="M271" s="504"/>
      <c r="N271" s="549"/>
      <c r="O271" s="550"/>
      <c r="P271" s="332"/>
    </row>
    <row r="272" spans="1:21" s="7" customFormat="1" ht="15.75">
      <c r="A272" s="331">
        <v>9</v>
      </c>
      <c r="B272" s="200" t="s">
        <v>36</v>
      </c>
      <c r="C272" s="223" t="s">
        <v>1200</v>
      </c>
      <c r="D272" s="245" t="s">
        <v>1199</v>
      </c>
      <c r="E272" s="171" t="s">
        <v>1171</v>
      </c>
      <c r="F272" s="156">
        <v>44189</v>
      </c>
      <c r="G272" s="156">
        <f>F272+240</f>
        <v>44429</v>
      </c>
      <c r="H272" s="210">
        <v>4920600</v>
      </c>
      <c r="I272" s="210"/>
      <c r="J272" s="210">
        <v>4920600</v>
      </c>
      <c r="K272" s="210">
        <v>1640200</v>
      </c>
      <c r="L272" s="210">
        <v>1640200</v>
      </c>
      <c r="M272" s="210">
        <v>1640200</v>
      </c>
      <c r="N272" s="549"/>
      <c r="O272" s="550"/>
      <c r="P272" s="332"/>
    </row>
    <row r="273" spans="1:16" s="7" customFormat="1" ht="31.5">
      <c r="A273" s="329">
        <v>10</v>
      </c>
      <c r="B273" s="200" t="s">
        <v>36</v>
      </c>
      <c r="C273" s="223" t="s">
        <v>1201</v>
      </c>
      <c r="D273" s="245"/>
      <c r="E273" s="245"/>
      <c r="F273" s="156">
        <v>44174</v>
      </c>
      <c r="G273" s="156">
        <v>44233</v>
      </c>
      <c r="H273" s="210">
        <v>468460</v>
      </c>
      <c r="I273" s="210"/>
      <c r="J273" s="210">
        <v>468460</v>
      </c>
      <c r="K273" s="210">
        <v>468460</v>
      </c>
      <c r="L273" s="210"/>
      <c r="M273" s="210"/>
      <c r="N273" s="549"/>
      <c r="O273" s="550"/>
      <c r="P273" s="332"/>
    </row>
    <row r="274" spans="1:16" s="7" customFormat="1" ht="31.5">
      <c r="A274" s="331">
        <v>11</v>
      </c>
      <c r="B274" s="200" t="s">
        <v>36</v>
      </c>
      <c r="C274" s="223" t="s">
        <v>1202</v>
      </c>
      <c r="D274" s="245"/>
      <c r="E274" s="245"/>
      <c r="F274" s="156">
        <v>44196</v>
      </c>
      <c r="G274" s="156">
        <v>44226</v>
      </c>
      <c r="H274" s="210">
        <v>110330</v>
      </c>
      <c r="I274" s="210"/>
      <c r="J274" s="210">
        <v>110330</v>
      </c>
      <c r="K274" s="210">
        <v>110330</v>
      </c>
      <c r="L274" s="210"/>
      <c r="M274" s="210"/>
      <c r="N274" s="549"/>
      <c r="O274" s="550"/>
      <c r="P274" s="332"/>
    </row>
    <row r="275" spans="1:16" s="7" customFormat="1" ht="15.75">
      <c r="A275" s="331">
        <v>12</v>
      </c>
      <c r="B275" s="200" t="s">
        <v>36</v>
      </c>
      <c r="C275" s="223" t="s">
        <v>1203</v>
      </c>
      <c r="D275" s="245" t="s">
        <v>1186</v>
      </c>
      <c r="E275" s="245"/>
      <c r="F275" s="156">
        <v>44195</v>
      </c>
      <c r="G275" s="156">
        <f>F275+120</f>
        <v>44315</v>
      </c>
      <c r="H275" s="210">
        <v>48610037.840000004</v>
      </c>
      <c r="I275" s="210"/>
      <c r="J275" s="210">
        <v>48610037.840000004</v>
      </c>
      <c r="K275" s="210">
        <v>24305018.920000002</v>
      </c>
      <c r="L275" s="210">
        <v>24305018.920000002</v>
      </c>
      <c r="M275" s="210"/>
      <c r="N275" s="549"/>
      <c r="O275" s="550"/>
      <c r="P275" s="332"/>
    </row>
    <row r="276" spans="1:16" s="7" customFormat="1" ht="31.5">
      <c r="A276" s="329">
        <v>13</v>
      </c>
      <c r="B276" s="200" t="s">
        <v>36</v>
      </c>
      <c r="C276" s="223" t="s">
        <v>1204</v>
      </c>
      <c r="D276" s="245" t="s">
        <v>196</v>
      </c>
      <c r="E276" s="171"/>
      <c r="F276" s="163">
        <v>44214</v>
      </c>
      <c r="G276" s="163">
        <v>44394</v>
      </c>
      <c r="H276" s="210">
        <v>2124000</v>
      </c>
      <c r="I276" s="210"/>
      <c r="J276" s="168">
        <v>2124000</v>
      </c>
      <c r="K276" s="210">
        <v>708000</v>
      </c>
      <c r="L276" s="210">
        <v>708000</v>
      </c>
      <c r="M276" s="210">
        <v>708000</v>
      </c>
      <c r="N276" s="549"/>
      <c r="O276" s="550"/>
      <c r="P276" s="332"/>
    </row>
    <row r="277" spans="1:16" s="7" customFormat="1" ht="15.75">
      <c r="A277" s="331">
        <v>14</v>
      </c>
      <c r="B277" s="200" t="s">
        <v>36</v>
      </c>
      <c r="C277" s="223" t="s">
        <v>1205</v>
      </c>
      <c r="D277" s="245" t="s">
        <v>1186</v>
      </c>
      <c r="E277" s="171" t="s">
        <v>1171</v>
      </c>
      <c r="F277" s="163">
        <v>44211</v>
      </c>
      <c r="G277" s="163">
        <v>44420</v>
      </c>
      <c r="H277" s="210">
        <v>4071000</v>
      </c>
      <c r="I277" s="210"/>
      <c r="J277" s="168">
        <v>4071000</v>
      </c>
      <c r="K277" s="210">
        <v>1357000</v>
      </c>
      <c r="L277" s="210">
        <v>1357000</v>
      </c>
      <c r="M277" s="210">
        <v>1357000</v>
      </c>
      <c r="N277" s="549"/>
      <c r="O277" s="550"/>
      <c r="P277" s="332"/>
    </row>
    <row r="278" spans="1:16" s="7" customFormat="1" ht="31.5">
      <c r="A278" s="331">
        <v>15</v>
      </c>
      <c r="B278" s="200" t="s">
        <v>36</v>
      </c>
      <c r="C278" s="223" t="s">
        <v>1206</v>
      </c>
      <c r="D278" s="245" t="s">
        <v>1186</v>
      </c>
      <c r="E278" s="171"/>
      <c r="F278" s="156">
        <v>44252</v>
      </c>
      <c r="G278" s="163">
        <v>44326</v>
      </c>
      <c r="H278" s="210">
        <v>4663360</v>
      </c>
      <c r="I278" s="210"/>
      <c r="J278" s="168">
        <v>4663360</v>
      </c>
      <c r="K278" s="210">
        <v>2331680</v>
      </c>
      <c r="L278" s="210">
        <v>2331680</v>
      </c>
      <c r="M278" s="210"/>
      <c r="N278" s="549"/>
      <c r="O278" s="550"/>
      <c r="P278" s="332"/>
    </row>
    <row r="279" spans="1:16" s="7" customFormat="1" ht="47.25">
      <c r="A279" s="329">
        <v>16</v>
      </c>
      <c r="B279" s="200" t="s">
        <v>36</v>
      </c>
      <c r="C279" s="223" t="s">
        <v>1207</v>
      </c>
      <c r="D279" s="245" t="s">
        <v>819</v>
      </c>
      <c r="E279" s="171" t="s">
        <v>1208</v>
      </c>
      <c r="F279" s="156">
        <v>40519</v>
      </c>
      <c r="G279" s="163">
        <v>40818</v>
      </c>
      <c r="H279" s="169">
        <v>624459.92299849994</v>
      </c>
      <c r="I279" s="213">
        <v>345818.16</v>
      </c>
      <c r="J279" s="168">
        <f t="shared" ref="J279:J310" si="24">H279-I279</f>
        <v>278641.76299849997</v>
      </c>
      <c r="K279" s="210">
        <v>88423.13</v>
      </c>
      <c r="L279" s="210"/>
      <c r="M279" s="210"/>
      <c r="N279" s="549"/>
      <c r="O279" s="550"/>
      <c r="P279" s="332"/>
    </row>
    <row r="280" spans="1:16" s="7" customFormat="1" ht="63">
      <c r="A280" s="331">
        <v>17</v>
      </c>
      <c r="B280" s="200" t="s">
        <v>36</v>
      </c>
      <c r="C280" s="223" t="s">
        <v>1209</v>
      </c>
      <c r="D280" s="245" t="s">
        <v>1210</v>
      </c>
      <c r="E280" s="171" t="s">
        <v>1208</v>
      </c>
      <c r="F280" s="156">
        <v>41092</v>
      </c>
      <c r="G280" s="163">
        <v>41391</v>
      </c>
      <c r="H280" s="169">
        <v>1215872</v>
      </c>
      <c r="I280" s="213">
        <v>503239.12</v>
      </c>
      <c r="J280" s="168">
        <f t="shared" si="24"/>
        <v>712632.88</v>
      </c>
      <c r="K280" s="210">
        <v>0</v>
      </c>
      <c r="L280" s="210"/>
      <c r="M280" s="210"/>
      <c r="N280" s="549"/>
      <c r="O280" s="550"/>
      <c r="P280" s="332"/>
    </row>
    <row r="281" spans="1:16" s="7" customFormat="1" ht="31.5">
      <c r="A281" s="331">
        <v>18</v>
      </c>
      <c r="B281" s="200" t="s">
        <v>36</v>
      </c>
      <c r="C281" s="223" t="s">
        <v>1211</v>
      </c>
      <c r="D281" s="245" t="s">
        <v>853</v>
      </c>
      <c r="E281" s="171" t="s">
        <v>798</v>
      </c>
      <c r="F281" s="156">
        <v>41137</v>
      </c>
      <c r="G281" s="163">
        <v>41936</v>
      </c>
      <c r="H281" s="169">
        <v>9633220.9408</v>
      </c>
      <c r="I281" s="213">
        <v>5977414.7999999998</v>
      </c>
      <c r="J281" s="168">
        <f t="shared" si="24"/>
        <v>3655806.1408000002</v>
      </c>
      <c r="K281" s="210">
        <v>0</v>
      </c>
      <c r="L281" s="210"/>
      <c r="M281" s="210"/>
      <c r="N281" s="549"/>
      <c r="O281" s="550"/>
      <c r="P281" s="332"/>
    </row>
    <row r="282" spans="1:16" s="7" customFormat="1" ht="15.75">
      <c r="A282" s="329">
        <v>19</v>
      </c>
      <c r="B282" s="200" t="s">
        <v>36</v>
      </c>
      <c r="C282" s="223" t="s">
        <v>1212</v>
      </c>
      <c r="D282" s="245" t="s">
        <v>853</v>
      </c>
      <c r="E282" s="171" t="s">
        <v>798</v>
      </c>
      <c r="F282" s="156">
        <v>41194</v>
      </c>
      <c r="G282" s="163" t="s">
        <v>1213</v>
      </c>
      <c r="H282" s="169">
        <v>7002103.716</v>
      </c>
      <c r="I282" s="213">
        <v>5912742.4325999999</v>
      </c>
      <c r="J282" s="168">
        <f t="shared" si="24"/>
        <v>1089361.2834000001</v>
      </c>
      <c r="K282" s="210">
        <v>0</v>
      </c>
      <c r="L282" s="210"/>
      <c r="M282" s="210"/>
      <c r="N282" s="549"/>
      <c r="O282" s="550"/>
      <c r="P282" s="332"/>
    </row>
    <row r="283" spans="1:16" s="7" customFormat="1" ht="31.5">
      <c r="A283" s="331">
        <v>20</v>
      </c>
      <c r="B283" s="200" t="s">
        <v>36</v>
      </c>
      <c r="C283" s="223" t="s">
        <v>1214</v>
      </c>
      <c r="D283" s="245" t="s">
        <v>853</v>
      </c>
      <c r="E283" s="171" t="s">
        <v>798</v>
      </c>
      <c r="F283" s="156">
        <v>41311</v>
      </c>
      <c r="G283" s="163">
        <v>42221</v>
      </c>
      <c r="H283" s="169">
        <v>14138975.800932752</v>
      </c>
      <c r="I283" s="213">
        <v>13849923.5978</v>
      </c>
      <c r="J283" s="168">
        <f t="shared" si="24"/>
        <v>289052.20313275233</v>
      </c>
      <c r="K283" s="210">
        <v>288912.69</v>
      </c>
      <c r="L283" s="210"/>
      <c r="M283" s="210"/>
      <c r="N283" s="549"/>
      <c r="O283" s="550"/>
      <c r="P283" s="332"/>
    </row>
    <row r="284" spans="1:16" s="7" customFormat="1" ht="63">
      <c r="A284" s="331">
        <v>21</v>
      </c>
      <c r="B284" s="200" t="s">
        <v>36</v>
      </c>
      <c r="C284" s="223" t="s">
        <v>1215</v>
      </c>
      <c r="D284" s="245" t="s">
        <v>1216</v>
      </c>
      <c r="E284" s="171" t="s">
        <v>1208</v>
      </c>
      <c r="F284" s="156">
        <v>41205</v>
      </c>
      <c r="G284" s="163">
        <v>41354</v>
      </c>
      <c r="H284" s="169">
        <v>146320</v>
      </c>
      <c r="I284" s="213">
        <v>47024.04</v>
      </c>
      <c r="J284" s="168">
        <f t="shared" si="24"/>
        <v>99295.959999999992</v>
      </c>
      <c r="K284" s="210">
        <v>0</v>
      </c>
      <c r="L284" s="210"/>
      <c r="M284" s="210"/>
      <c r="N284" s="549"/>
      <c r="O284" s="550"/>
      <c r="P284" s="332"/>
    </row>
    <row r="285" spans="1:16" s="7" customFormat="1" ht="47.25">
      <c r="A285" s="329">
        <v>22</v>
      </c>
      <c r="B285" s="200" t="s">
        <v>36</v>
      </c>
      <c r="C285" s="223" t="s">
        <v>1217</v>
      </c>
      <c r="D285" s="245" t="s">
        <v>1218</v>
      </c>
      <c r="E285" s="171" t="s">
        <v>1208</v>
      </c>
      <c r="F285" s="156">
        <v>41226</v>
      </c>
      <c r="G285" s="163">
        <v>41525</v>
      </c>
      <c r="H285" s="169">
        <v>889106.4</v>
      </c>
      <c r="I285" s="213">
        <v>46203.39</v>
      </c>
      <c r="J285" s="168">
        <f t="shared" si="24"/>
        <v>842903.01</v>
      </c>
      <c r="K285" s="210">
        <v>750500.74</v>
      </c>
      <c r="L285" s="210"/>
      <c r="M285" s="210"/>
      <c r="N285" s="549"/>
      <c r="O285" s="551"/>
      <c r="P285" s="332"/>
    </row>
    <row r="286" spans="1:16" s="7" customFormat="1" ht="31.5">
      <c r="A286" s="331">
        <v>23</v>
      </c>
      <c r="B286" s="200" t="s">
        <v>36</v>
      </c>
      <c r="C286" s="223" t="s">
        <v>1219</v>
      </c>
      <c r="D286" s="245" t="s">
        <v>1216</v>
      </c>
      <c r="E286" s="171" t="s">
        <v>798</v>
      </c>
      <c r="F286" s="156">
        <v>41236</v>
      </c>
      <c r="G286" s="163">
        <v>42014</v>
      </c>
      <c r="H286" s="169">
        <v>9143348.9558000006</v>
      </c>
      <c r="I286" s="213">
        <v>6820350.4500000002</v>
      </c>
      <c r="J286" s="168">
        <f t="shared" si="24"/>
        <v>2322998.5058000004</v>
      </c>
      <c r="K286" s="210">
        <v>0</v>
      </c>
      <c r="L286" s="210"/>
      <c r="M286" s="210"/>
      <c r="N286" s="549"/>
      <c r="O286" s="551"/>
      <c r="P286" s="332"/>
    </row>
    <row r="287" spans="1:16" s="7" customFormat="1" ht="31.5">
      <c r="A287" s="331">
        <v>24</v>
      </c>
      <c r="B287" s="200" t="s">
        <v>36</v>
      </c>
      <c r="C287" s="223" t="s">
        <v>1220</v>
      </c>
      <c r="D287" s="245" t="s">
        <v>853</v>
      </c>
      <c r="E287" s="171" t="s">
        <v>798</v>
      </c>
      <c r="F287" s="156">
        <v>41227</v>
      </c>
      <c r="G287" s="163" t="s">
        <v>1221</v>
      </c>
      <c r="H287" s="169">
        <v>7002103.716</v>
      </c>
      <c r="I287" s="213">
        <v>5912742.4325999999</v>
      </c>
      <c r="J287" s="168">
        <f t="shared" si="24"/>
        <v>1089361.2834000001</v>
      </c>
      <c r="K287" s="210">
        <v>0</v>
      </c>
      <c r="L287" s="210"/>
      <c r="M287" s="210"/>
      <c r="N287" s="549"/>
      <c r="O287" s="550"/>
      <c r="P287" s="332"/>
    </row>
    <row r="288" spans="1:16" s="7" customFormat="1" ht="35.25" customHeight="1">
      <c r="A288" s="329">
        <v>25</v>
      </c>
      <c r="B288" s="200" t="s">
        <v>36</v>
      </c>
      <c r="C288" s="223" t="s">
        <v>1222</v>
      </c>
      <c r="D288" s="245" t="s">
        <v>853</v>
      </c>
      <c r="E288" s="171" t="s">
        <v>798</v>
      </c>
      <c r="F288" s="156">
        <v>41243</v>
      </c>
      <c r="G288" s="163" t="s">
        <v>1223</v>
      </c>
      <c r="H288" s="169">
        <v>3424927.3676</v>
      </c>
      <c r="I288" s="213">
        <v>2909834.54</v>
      </c>
      <c r="J288" s="168">
        <f t="shared" si="24"/>
        <v>515092.82759999996</v>
      </c>
      <c r="K288" s="210">
        <v>0</v>
      </c>
      <c r="L288" s="210"/>
      <c r="M288" s="210"/>
      <c r="N288" s="549"/>
      <c r="O288" s="551"/>
      <c r="P288" s="332"/>
    </row>
    <row r="289" spans="1:16" s="7" customFormat="1" ht="47.25">
      <c r="A289" s="331">
        <v>26</v>
      </c>
      <c r="B289" s="200" t="s">
        <v>36</v>
      </c>
      <c r="C289" s="223" t="s">
        <v>1224</v>
      </c>
      <c r="D289" s="245" t="s">
        <v>37</v>
      </c>
      <c r="E289" s="171" t="s">
        <v>1208</v>
      </c>
      <c r="F289" s="156">
        <v>41300</v>
      </c>
      <c r="G289" s="163">
        <v>41500</v>
      </c>
      <c r="H289" s="169">
        <v>8720.2000000000007</v>
      </c>
      <c r="I289" s="213">
        <v>0</v>
      </c>
      <c r="J289" s="168">
        <f t="shared" si="24"/>
        <v>8720.2000000000007</v>
      </c>
      <c r="K289" s="210">
        <v>0</v>
      </c>
      <c r="L289" s="210"/>
      <c r="M289" s="210"/>
      <c r="N289" s="549"/>
      <c r="O289" s="550"/>
      <c r="P289" s="332"/>
    </row>
    <row r="290" spans="1:16" s="7" customFormat="1" ht="47.25">
      <c r="A290" s="331">
        <v>27</v>
      </c>
      <c r="B290" s="200" t="s">
        <v>36</v>
      </c>
      <c r="C290" s="223" t="s">
        <v>1225</v>
      </c>
      <c r="D290" s="245" t="s">
        <v>853</v>
      </c>
      <c r="E290" s="171" t="s">
        <v>1208</v>
      </c>
      <c r="F290" s="156">
        <v>41194</v>
      </c>
      <c r="G290" s="163">
        <v>41313</v>
      </c>
      <c r="H290" s="169">
        <v>155760</v>
      </c>
      <c r="I290" s="213">
        <v>0</v>
      </c>
      <c r="J290" s="168">
        <f t="shared" si="24"/>
        <v>155760</v>
      </c>
      <c r="K290" s="210">
        <v>0</v>
      </c>
      <c r="L290" s="210"/>
      <c r="M290" s="210"/>
      <c r="N290" s="549"/>
      <c r="O290" s="550"/>
      <c r="P290" s="332"/>
    </row>
    <row r="291" spans="1:16" s="7" customFormat="1" ht="63">
      <c r="A291" s="329">
        <v>28</v>
      </c>
      <c r="B291" s="200" t="s">
        <v>36</v>
      </c>
      <c r="C291" s="223" t="s">
        <v>1226</v>
      </c>
      <c r="D291" s="245" t="s">
        <v>1210</v>
      </c>
      <c r="E291" s="171" t="s">
        <v>1208</v>
      </c>
      <c r="F291" s="156">
        <v>41709</v>
      </c>
      <c r="G291" s="163">
        <v>42014</v>
      </c>
      <c r="H291" s="169">
        <v>1167020</v>
      </c>
      <c r="I291" s="213">
        <v>0</v>
      </c>
      <c r="J291" s="168">
        <f t="shared" si="24"/>
        <v>1167020</v>
      </c>
      <c r="K291" s="210">
        <v>0</v>
      </c>
      <c r="L291" s="210"/>
      <c r="M291" s="210"/>
      <c r="N291" s="549"/>
      <c r="O291" s="550"/>
      <c r="P291" s="332"/>
    </row>
    <row r="292" spans="1:16" s="7" customFormat="1" ht="47.25">
      <c r="A292" s="331">
        <v>29</v>
      </c>
      <c r="B292" s="200" t="s">
        <v>36</v>
      </c>
      <c r="C292" s="223" t="s">
        <v>1227</v>
      </c>
      <c r="D292" s="245" t="s">
        <v>38</v>
      </c>
      <c r="E292" s="171" t="s">
        <v>1208</v>
      </c>
      <c r="F292" s="156">
        <v>41518</v>
      </c>
      <c r="G292" s="163">
        <v>41577</v>
      </c>
      <c r="H292" s="169">
        <v>8850</v>
      </c>
      <c r="I292" s="213">
        <v>0</v>
      </c>
      <c r="J292" s="168">
        <f t="shared" si="24"/>
        <v>8850</v>
      </c>
      <c r="K292" s="210">
        <v>0</v>
      </c>
      <c r="L292" s="210"/>
      <c r="M292" s="210"/>
      <c r="N292" s="549"/>
      <c r="O292" s="550"/>
      <c r="P292" s="332"/>
    </row>
    <row r="293" spans="1:16" s="7" customFormat="1" ht="46.5" customHeight="1">
      <c r="A293" s="331">
        <v>30</v>
      </c>
      <c r="B293" s="200" t="s">
        <v>36</v>
      </c>
      <c r="C293" s="223" t="s">
        <v>1228</v>
      </c>
      <c r="D293" s="245" t="s">
        <v>853</v>
      </c>
      <c r="E293" s="171" t="s">
        <v>1208</v>
      </c>
      <c r="F293" s="156">
        <v>41411</v>
      </c>
      <c r="G293" s="163" t="s">
        <v>1229</v>
      </c>
      <c r="H293" s="169">
        <v>8051095.0184000004</v>
      </c>
      <c r="I293" s="213">
        <v>8030865.398</v>
      </c>
      <c r="J293" s="168">
        <f t="shared" si="24"/>
        <v>20229.620400000364</v>
      </c>
      <c r="K293" s="210">
        <v>0</v>
      </c>
      <c r="L293" s="210"/>
      <c r="M293" s="210"/>
      <c r="N293" s="549"/>
      <c r="O293" s="550"/>
      <c r="P293" s="332"/>
    </row>
    <row r="294" spans="1:16" s="7" customFormat="1" ht="42" customHeight="1">
      <c r="A294" s="329">
        <v>31</v>
      </c>
      <c r="B294" s="200" t="s">
        <v>36</v>
      </c>
      <c r="C294" s="223" t="s">
        <v>1230</v>
      </c>
      <c r="D294" s="245" t="s">
        <v>853</v>
      </c>
      <c r="E294" s="171" t="s">
        <v>798</v>
      </c>
      <c r="F294" s="156">
        <v>41376</v>
      </c>
      <c r="G294" s="163">
        <v>42474</v>
      </c>
      <c r="H294" s="169">
        <v>8126894.1238000002</v>
      </c>
      <c r="I294" s="213">
        <v>7189934.8799999999</v>
      </c>
      <c r="J294" s="168">
        <f t="shared" si="24"/>
        <v>936959.24380000029</v>
      </c>
      <c r="K294" s="210">
        <v>0</v>
      </c>
      <c r="L294" s="210"/>
      <c r="M294" s="210"/>
      <c r="N294" s="549"/>
      <c r="O294" s="550"/>
      <c r="P294" s="332"/>
    </row>
    <row r="295" spans="1:16" s="7" customFormat="1" ht="65.25" customHeight="1">
      <c r="A295" s="331">
        <v>32</v>
      </c>
      <c r="B295" s="200" t="s">
        <v>36</v>
      </c>
      <c r="C295" s="223" t="s">
        <v>1231</v>
      </c>
      <c r="D295" s="245" t="s">
        <v>853</v>
      </c>
      <c r="E295" s="171" t="s">
        <v>798</v>
      </c>
      <c r="F295" s="156">
        <v>41282</v>
      </c>
      <c r="G295" s="163">
        <v>41461</v>
      </c>
      <c r="H295" s="169">
        <v>25370</v>
      </c>
      <c r="I295" s="213">
        <v>0</v>
      </c>
      <c r="J295" s="168">
        <f t="shared" si="24"/>
        <v>25370</v>
      </c>
      <c r="K295" s="210">
        <v>0</v>
      </c>
      <c r="L295" s="210"/>
      <c r="M295" s="210"/>
      <c r="N295" s="549"/>
      <c r="O295" s="550"/>
      <c r="P295" s="332"/>
    </row>
    <row r="296" spans="1:16" s="7" customFormat="1" ht="65.25" customHeight="1">
      <c r="A296" s="331">
        <v>33</v>
      </c>
      <c r="B296" s="200" t="s">
        <v>36</v>
      </c>
      <c r="C296" s="223" t="s">
        <v>1232</v>
      </c>
      <c r="D296" s="245" t="s">
        <v>32</v>
      </c>
      <c r="E296" s="171" t="s">
        <v>1208</v>
      </c>
      <c r="F296" s="156">
        <v>41368</v>
      </c>
      <c r="G296" s="163">
        <v>41517</v>
      </c>
      <c r="H296" s="169">
        <v>40120</v>
      </c>
      <c r="I296" s="213">
        <v>0</v>
      </c>
      <c r="J296" s="168">
        <f t="shared" si="24"/>
        <v>40120</v>
      </c>
      <c r="K296" s="210">
        <v>0</v>
      </c>
      <c r="L296" s="210"/>
      <c r="M296" s="210"/>
      <c r="N296" s="549"/>
      <c r="O296" s="551"/>
      <c r="P296" s="332"/>
    </row>
    <row r="297" spans="1:16" s="7" customFormat="1" ht="65.25" customHeight="1">
      <c r="A297" s="329">
        <v>34</v>
      </c>
      <c r="B297" s="200" t="s">
        <v>36</v>
      </c>
      <c r="C297" s="223" t="s">
        <v>1233</v>
      </c>
      <c r="D297" s="245" t="s">
        <v>1218</v>
      </c>
      <c r="E297" s="171" t="s">
        <v>1208</v>
      </c>
      <c r="F297" s="156">
        <v>41331</v>
      </c>
      <c r="G297" s="163">
        <v>41510</v>
      </c>
      <c r="H297" s="169">
        <v>61360</v>
      </c>
      <c r="I297" s="213">
        <v>0</v>
      </c>
      <c r="J297" s="168">
        <f t="shared" si="24"/>
        <v>61360</v>
      </c>
      <c r="K297" s="210">
        <v>0</v>
      </c>
      <c r="L297" s="210"/>
      <c r="M297" s="210"/>
      <c r="N297" s="549"/>
      <c r="O297" s="550"/>
      <c r="P297" s="332"/>
    </row>
    <row r="298" spans="1:16" s="7" customFormat="1" ht="65.25" customHeight="1">
      <c r="A298" s="331">
        <v>35</v>
      </c>
      <c r="B298" s="200" t="s">
        <v>36</v>
      </c>
      <c r="C298" s="223" t="s">
        <v>1234</v>
      </c>
      <c r="D298" s="245" t="s">
        <v>1216</v>
      </c>
      <c r="E298" s="171" t="s">
        <v>1208</v>
      </c>
      <c r="F298" s="156">
        <v>41432</v>
      </c>
      <c r="G298" s="163" t="s">
        <v>1235</v>
      </c>
      <c r="H298" s="169">
        <v>16893139.092599999</v>
      </c>
      <c r="I298" s="213">
        <v>4482590.4440000001</v>
      </c>
      <c r="J298" s="168">
        <f t="shared" si="24"/>
        <v>12410548.648599999</v>
      </c>
      <c r="K298" s="210">
        <v>0</v>
      </c>
      <c r="L298" s="210"/>
      <c r="M298" s="210"/>
      <c r="N298" s="549"/>
      <c r="O298" s="551"/>
      <c r="P298" s="332"/>
    </row>
    <row r="299" spans="1:16" s="7" customFormat="1" ht="65.25" customHeight="1">
      <c r="A299" s="331">
        <v>36</v>
      </c>
      <c r="B299" s="200" t="s">
        <v>36</v>
      </c>
      <c r="C299" s="223" t="s">
        <v>1236</v>
      </c>
      <c r="D299" s="245" t="s">
        <v>23</v>
      </c>
      <c r="E299" s="165" t="s">
        <v>798</v>
      </c>
      <c r="F299" s="163">
        <v>41586</v>
      </c>
      <c r="G299" s="163">
        <v>41370</v>
      </c>
      <c r="H299" s="169">
        <v>146320</v>
      </c>
      <c r="I299" s="213">
        <v>0</v>
      </c>
      <c r="J299" s="168">
        <f t="shared" si="24"/>
        <v>146320</v>
      </c>
      <c r="K299" s="210">
        <v>0</v>
      </c>
      <c r="L299" s="210"/>
      <c r="M299" s="210"/>
      <c r="N299" s="549"/>
      <c r="O299" s="551"/>
      <c r="P299" s="332"/>
    </row>
    <row r="300" spans="1:16" s="7" customFormat="1" ht="65.25" customHeight="1">
      <c r="A300" s="329">
        <v>37</v>
      </c>
      <c r="B300" s="200" t="s">
        <v>36</v>
      </c>
      <c r="C300" s="223" t="s">
        <v>1237</v>
      </c>
      <c r="D300" s="245" t="s">
        <v>853</v>
      </c>
      <c r="E300" s="165" t="s">
        <v>798</v>
      </c>
      <c r="F300" s="163">
        <v>41603</v>
      </c>
      <c r="G300" s="163" t="s">
        <v>1238</v>
      </c>
      <c r="H300" s="169">
        <v>4518140.5828977088</v>
      </c>
      <c r="I300" s="213">
        <v>4185898.9</v>
      </c>
      <c r="J300" s="168">
        <f t="shared" si="24"/>
        <v>332241.68289770884</v>
      </c>
      <c r="K300" s="210">
        <v>0</v>
      </c>
      <c r="L300" s="210"/>
      <c r="M300" s="210"/>
      <c r="N300" s="549"/>
      <c r="O300" s="551"/>
      <c r="P300" s="332"/>
    </row>
    <row r="301" spans="1:16" s="7" customFormat="1" ht="65.25" customHeight="1">
      <c r="A301" s="331">
        <v>38</v>
      </c>
      <c r="B301" s="200" t="s">
        <v>36</v>
      </c>
      <c r="C301" s="223" t="s">
        <v>1239</v>
      </c>
      <c r="D301" s="245" t="s">
        <v>853</v>
      </c>
      <c r="E301" s="165" t="s">
        <v>798</v>
      </c>
      <c r="F301" s="163">
        <v>41835</v>
      </c>
      <c r="G301" s="163" t="s">
        <v>1240</v>
      </c>
      <c r="H301" s="169">
        <v>9449608.8225999996</v>
      </c>
      <c r="I301" s="213">
        <v>9093869.4700000007</v>
      </c>
      <c r="J301" s="168">
        <f t="shared" si="24"/>
        <v>355739.35259999894</v>
      </c>
      <c r="K301" s="210">
        <v>0</v>
      </c>
      <c r="L301" s="210"/>
      <c r="M301" s="210"/>
      <c r="N301" s="549"/>
      <c r="O301" s="551"/>
      <c r="P301" s="332"/>
    </row>
    <row r="302" spans="1:16" s="7" customFormat="1" ht="65.25" customHeight="1">
      <c r="A302" s="331">
        <v>39</v>
      </c>
      <c r="B302" s="200" t="s">
        <v>36</v>
      </c>
      <c r="C302" s="223" t="s">
        <v>1241</v>
      </c>
      <c r="D302" s="245" t="s">
        <v>943</v>
      </c>
      <c r="E302" s="165" t="s">
        <v>798</v>
      </c>
      <c r="F302" s="163">
        <v>41638</v>
      </c>
      <c r="G302" s="163" t="s">
        <v>1242</v>
      </c>
      <c r="H302" s="169">
        <v>15320023.638399998</v>
      </c>
      <c r="I302" s="213">
        <v>11634381.573199999</v>
      </c>
      <c r="J302" s="168">
        <f t="shared" si="24"/>
        <v>3685642.0651999991</v>
      </c>
      <c r="K302" s="210">
        <v>0</v>
      </c>
      <c r="L302" s="210"/>
      <c r="M302" s="210"/>
      <c r="N302" s="549"/>
      <c r="O302" s="551"/>
      <c r="P302" s="332"/>
    </row>
    <row r="303" spans="1:16" s="7" customFormat="1" ht="47.25">
      <c r="A303" s="329">
        <v>40</v>
      </c>
      <c r="B303" s="200" t="s">
        <v>36</v>
      </c>
      <c r="C303" s="223" t="s">
        <v>1243</v>
      </c>
      <c r="D303" s="245" t="s">
        <v>37</v>
      </c>
      <c r="E303" s="165" t="s">
        <v>798</v>
      </c>
      <c r="F303" s="163">
        <v>41813</v>
      </c>
      <c r="G303" s="163" t="s">
        <v>1244</v>
      </c>
      <c r="H303" s="169">
        <v>6742520.1062000003</v>
      </c>
      <c r="I303" s="213">
        <v>6176070.3899999997</v>
      </c>
      <c r="J303" s="168">
        <f t="shared" si="24"/>
        <v>566449.71620000061</v>
      </c>
      <c r="K303" s="210">
        <v>0</v>
      </c>
      <c r="L303" s="210"/>
      <c r="M303" s="210"/>
      <c r="N303" s="549"/>
      <c r="O303" s="551"/>
      <c r="P303" s="332"/>
    </row>
    <row r="304" spans="1:16" s="7" customFormat="1" ht="78.75">
      <c r="A304" s="331">
        <v>41</v>
      </c>
      <c r="B304" s="200" t="s">
        <v>36</v>
      </c>
      <c r="C304" s="223" t="s">
        <v>1245</v>
      </c>
      <c r="D304" s="245" t="s">
        <v>853</v>
      </c>
      <c r="E304" s="165" t="s">
        <v>1208</v>
      </c>
      <c r="F304" s="163">
        <v>41723</v>
      </c>
      <c r="G304" s="163">
        <v>42122</v>
      </c>
      <c r="H304" s="169">
        <v>1608340</v>
      </c>
      <c r="I304" s="213">
        <v>1467495.89</v>
      </c>
      <c r="J304" s="168">
        <f t="shared" si="24"/>
        <v>140844.1100000001</v>
      </c>
      <c r="K304" s="210">
        <v>0</v>
      </c>
      <c r="L304" s="210"/>
      <c r="M304" s="210"/>
      <c r="N304" s="549"/>
      <c r="O304" s="551"/>
      <c r="P304" s="332"/>
    </row>
    <row r="305" spans="1:16" s="7" customFormat="1" ht="31.5">
      <c r="A305" s="331">
        <v>42</v>
      </c>
      <c r="B305" s="200" t="s">
        <v>36</v>
      </c>
      <c r="C305" s="223" t="s">
        <v>1246</v>
      </c>
      <c r="D305" s="245" t="s">
        <v>853</v>
      </c>
      <c r="E305" s="165" t="s">
        <v>1208</v>
      </c>
      <c r="F305" s="163">
        <v>41674</v>
      </c>
      <c r="G305" s="163">
        <v>42033</v>
      </c>
      <c r="H305" s="169">
        <v>811840</v>
      </c>
      <c r="I305" s="213">
        <v>0</v>
      </c>
      <c r="J305" s="168">
        <f t="shared" si="24"/>
        <v>811840</v>
      </c>
      <c r="K305" s="210">
        <v>0</v>
      </c>
      <c r="L305" s="210"/>
      <c r="M305" s="210"/>
      <c r="N305" s="549"/>
      <c r="O305" s="551"/>
      <c r="P305" s="332"/>
    </row>
    <row r="306" spans="1:16" s="7" customFormat="1" ht="63">
      <c r="A306" s="329">
        <v>43</v>
      </c>
      <c r="B306" s="200" t="s">
        <v>36</v>
      </c>
      <c r="C306" s="223" t="s">
        <v>1247</v>
      </c>
      <c r="D306" s="245" t="s">
        <v>966</v>
      </c>
      <c r="E306" s="165" t="s">
        <v>1208</v>
      </c>
      <c r="F306" s="163">
        <v>41729</v>
      </c>
      <c r="G306" s="163">
        <v>41938</v>
      </c>
      <c r="H306" s="169">
        <v>302788</v>
      </c>
      <c r="I306" s="213">
        <v>0</v>
      </c>
      <c r="J306" s="168">
        <f t="shared" si="24"/>
        <v>302788</v>
      </c>
      <c r="K306" s="210">
        <v>0</v>
      </c>
      <c r="L306" s="210"/>
      <c r="M306" s="210"/>
      <c r="N306" s="549"/>
      <c r="O306" s="551"/>
      <c r="P306" s="332"/>
    </row>
    <row r="307" spans="1:16" s="7" customFormat="1" ht="31.5">
      <c r="A307" s="331">
        <v>44</v>
      </c>
      <c r="B307" s="200" t="s">
        <v>36</v>
      </c>
      <c r="C307" s="223" t="s">
        <v>1248</v>
      </c>
      <c r="D307" s="245" t="s">
        <v>37</v>
      </c>
      <c r="E307" s="165" t="s">
        <v>798</v>
      </c>
      <c r="F307" s="163">
        <v>42650</v>
      </c>
      <c r="G307" s="163">
        <v>43099</v>
      </c>
      <c r="H307" s="169">
        <v>3499004.4754000003</v>
      </c>
      <c r="I307" s="213">
        <v>3461250.2516000001</v>
      </c>
      <c r="J307" s="168">
        <f t="shared" si="24"/>
        <v>37754.223800000269</v>
      </c>
      <c r="K307" s="210">
        <v>0</v>
      </c>
      <c r="L307" s="210"/>
      <c r="M307" s="210"/>
      <c r="N307" s="549"/>
      <c r="O307" s="551"/>
      <c r="P307" s="332"/>
    </row>
    <row r="308" spans="1:16" s="7" customFormat="1" ht="34.5" customHeight="1">
      <c r="A308" s="331">
        <v>45</v>
      </c>
      <c r="B308" s="200" t="s">
        <v>36</v>
      </c>
      <c r="C308" s="223" t="s">
        <v>1249</v>
      </c>
      <c r="D308" s="245" t="s">
        <v>943</v>
      </c>
      <c r="E308" s="165" t="s">
        <v>798</v>
      </c>
      <c r="F308" s="163">
        <v>42783</v>
      </c>
      <c r="G308" s="163">
        <v>43179</v>
      </c>
      <c r="H308" s="169">
        <v>1103255.2072000001</v>
      </c>
      <c r="I308" s="213">
        <v>868849.19839999988</v>
      </c>
      <c r="J308" s="168">
        <f t="shared" si="24"/>
        <v>234406.00880000019</v>
      </c>
      <c r="K308" s="210">
        <v>0</v>
      </c>
      <c r="L308" s="210"/>
      <c r="M308" s="210"/>
      <c r="N308" s="549"/>
      <c r="O308" s="551"/>
      <c r="P308" s="332"/>
    </row>
    <row r="309" spans="1:16" s="7" customFormat="1" ht="49.5" customHeight="1">
      <c r="A309" s="329">
        <v>46</v>
      </c>
      <c r="B309" s="200" t="s">
        <v>36</v>
      </c>
      <c r="C309" s="223" t="s">
        <v>1250</v>
      </c>
      <c r="D309" s="245" t="s">
        <v>853</v>
      </c>
      <c r="E309" s="165" t="s">
        <v>1208</v>
      </c>
      <c r="F309" s="163">
        <v>41200</v>
      </c>
      <c r="G309" s="163">
        <v>41259</v>
      </c>
      <c r="H309" s="169">
        <v>35400</v>
      </c>
      <c r="I309" s="213">
        <v>0</v>
      </c>
      <c r="J309" s="168">
        <f t="shared" si="24"/>
        <v>35400</v>
      </c>
      <c r="K309" s="210">
        <v>0</v>
      </c>
      <c r="L309" s="210"/>
      <c r="M309" s="210"/>
      <c r="N309" s="549"/>
      <c r="O309" s="551"/>
      <c r="P309" s="332"/>
    </row>
    <row r="310" spans="1:16" s="7" customFormat="1" ht="49.5" customHeight="1">
      <c r="A310" s="331">
        <v>47</v>
      </c>
      <c r="B310" s="200" t="s">
        <v>36</v>
      </c>
      <c r="C310" s="223" t="s">
        <v>1251</v>
      </c>
      <c r="D310" s="245" t="s">
        <v>22</v>
      </c>
      <c r="E310" s="165" t="s">
        <v>798</v>
      </c>
      <c r="F310" s="163">
        <v>43005</v>
      </c>
      <c r="G310" s="163">
        <v>43455</v>
      </c>
      <c r="H310" s="169">
        <v>3690052.5995999994</v>
      </c>
      <c r="I310" s="213">
        <v>3580213.3552000001</v>
      </c>
      <c r="J310" s="168">
        <f t="shared" si="24"/>
        <v>109839.24439999927</v>
      </c>
      <c r="K310" s="210">
        <v>0</v>
      </c>
      <c r="L310" s="210"/>
      <c r="M310" s="210"/>
      <c r="N310" s="549"/>
      <c r="O310" s="551"/>
      <c r="P310" s="332"/>
    </row>
    <row r="311" spans="1:16" s="7" customFormat="1" ht="49.5" customHeight="1">
      <c r="A311" s="331">
        <v>48</v>
      </c>
      <c r="B311" s="200" t="s">
        <v>36</v>
      </c>
      <c r="C311" s="223" t="s">
        <v>1252</v>
      </c>
      <c r="D311" s="245" t="s">
        <v>853</v>
      </c>
      <c r="E311" s="165" t="s">
        <v>798</v>
      </c>
      <c r="F311" s="163">
        <v>43091</v>
      </c>
      <c r="G311" s="163">
        <v>43395</v>
      </c>
      <c r="H311" s="169">
        <v>641206.56019999995</v>
      </c>
      <c r="I311" s="213">
        <v>438285.52379999997</v>
      </c>
      <c r="J311" s="168">
        <f t="shared" ref="J311:J332" si="25">H311-I311</f>
        <v>202921.03639999998</v>
      </c>
      <c r="K311" s="210">
        <v>0</v>
      </c>
      <c r="L311" s="210"/>
      <c r="M311" s="210"/>
      <c r="N311" s="549"/>
      <c r="O311" s="551"/>
      <c r="P311" s="332"/>
    </row>
    <row r="312" spans="1:16" s="7" customFormat="1" ht="49.5" customHeight="1">
      <c r="A312" s="329">
        <v>49</v>
      </c>
      <c r="B312" s="200" t="s">
        <v>36</v>
      </c>
      <c r="C312" s="223" t="s">
        <v>1253</v>
      </c>
      <c r="D312" s="245" t="s">
        <v>866</v>
      </c>
      <c r="E312" s="165" t="s">
        <v>798</v>
      </c>
      <c r="F312" s="163">
        <v>43259</v>
      </c>
      <c r="G312" s="163" t="s">
        <v>1254</v>
      </c>
      <c r="H312" s="169">
        <v>3416928.0767999999</v>
      </c>
      <c r="I312" s="213">
        <v>3336011.4366000001</v>
      </c>
      <c r="J312" s="168">
        <f t="shared" si="25"/>
        <v>80916.640199999791</v>
      </c>
      <c r="K312" s="210">
        <v>0</v>
      </c>
      <c r="L312" s="210"/>
      <c r="M312" s="210"/>
      <c r="N312" s="549"/>
      <c r="O312" s="551"/>
      <c r="P312" s="332"/>
    </row>
    <row r="313" spans="1:16" s="7" customFormat="1" ht="49.5" customHeight="1">
      <c r="A313" s="331">
        <v>50</v>
      </c>
      <c r="B313" s="200" t="s">
        <v>36</v>
      </c>
      <c r="C313" s="223" t="s">
        <v>1255</v>
      </c>
      <c r="D313" s="245" t="s">
        <v>1218</v>
      </c>
      <c r="E313" s="165" t="s">
        <v>798</v>
      </c>
      <c r="F313" s="163">
        <v>43347</v>
      </c>
      <c r="G313" s="163">
        <v>43946</v>
      </c>
      <c r="H313" s="169">
        <v>35388747.4256</v>
      </c>
      <c r="I313" s="213">
        <v>35363976.986599997</v>
      </c>
      <c r="J313" s="168">
        <f t="shared" si="25"/>
        <v>24770.43900000304</v>
      </c>
      <c r="K313" s="210">
        <v>0</v>
      </c>
      <c r="L313" s="210"/>
      <c r="M313" s="210"/>
      <c r="N313" s="549"/>
      <c r="O313" s="551"/>
      <c r="P313" s="332"/>
    </row>
    <row r="314" spans="1:16" s="7" customFormat="1" ht="49.5" customHeight="1">
      <c r="A314" s="331">
        <v>51</v>
      </c>
      <c r="B314" s="200" t="s">
        <v>36</v>
      </c>
      <c r="C314" s="223" t="s">
        <v>1256</v>
      </c>
      <c r="D314" s="245" t="s">
        <v>853</v>
      </c>
      <c r="E314" s="165" t="s">
        <v>1208</v>
      </c>
      <c r="F314" s="163">
        <v>43357</v>
      </c>
      <c r="G314" s="163">
        <v>43653</v>
      </c>
      <c r="H314" s="169">
        <v>298894</v>
      </c>
      <c r="I314" s="213">
        <v>0</v>
      </c>
      <c r="J314" s="168">
        <f t="shared" si="25"/>
        <v>298894</v>
      </c>
      <c r="K314" s="210">
        <v>0</v>
      </c>
      <c r="L314" s="210"/>
      <c r="M314" s="210"/>
      <c r="N314" s="549"/>
      <c r="O314" s="551"/>
      <c r="P314" s="332"/>
    </row>
    <row r="315" spans="1:16" s="7" customFormat="1" ht="49.5" customHeight="1">
      <c r="A315" s="329">
        <v>52</v>
      </c>
      <c r="B315" s="200" t="s">
        <v>36</v>
      </c>
      <c r="C315" s="223" t="s">
        <v>1257</v>
      </c>
      <c r="D315" s="245" t="s">
        <v>47</v>
      </c>
      <c r="E315" s="165" t="s">
        <v>798</v>
      </c>
      <c r="F315" s="163">
        <v>43326</v>
      </c>
      <c r="G315" s="163" t="s">
        <v>1258</v>
      </c>
      <c r="H315" s="169">
        <v>3489894.4151999992</v>
      </c>
      <c r="I315" s="213">
        <v>3370098.9788000002</v>
      </c>
      <c r="J315" s="168">
        <f t="shared" si="25"/>
        <v>119795.43639999907</v>
      </c>
      <c r="K315" s="210">
        <v>0</v>
      </c>
      <c r="L315" s="210"/>
      <c r="M315" s="210"/>
      <c r="N315" s="549"/>
      <c r="O315" s="551"/>
      <c r="P315" s="332"/>
    </row>
    <row r="316" spans="1:16" s="7" customFormat="1" ht="49.5" customHeight="1">
      <c r="A316" s="331">
        <v>53</v>
      </c>
      <c r="B316" s="200" t="s">
        <v>36</v>
      </c>
      <c r="C316" s="223" t="s">
        <v>1259</v>
      </c>
      <c r="D316" s="245" t="s">
        <v>49</v>
      </c>
      <c r="E316" s="165" t="s">
        <v>798</v>
      </c>
      <c r="F316" s="163">
        <v>43350</v>
      </c>
      <c r="G316" s="163">
        <v>43800</v>
      </c>
      <c r="H316" s="169">
        <v>1125665.1654000001</v>
      </c>
      <c r="I316" s="213">
        <v>755643.43599999999</v>
      </c>
      <c r="J316" s="168">
        <f t="shared" si="25"/>
        <v>370021.72940000007</v>
      </c>
      <c r="K316" s="210">
        <v>52710.27</v>
      </c>
      <c r="L316" s="210"/>
      <c r="M316" s="210"/>
      <c r="N316" s="549"/>
      <c r="O316" s="551"/>
      <c r="P316" s="332"/>
    </row>
    <row r="317" spans="1:16" s="7" customFormat="1" ht="49.5" customHeight="1">
      <c r="A317" s="331">
        <v>54</v>
      </c>
      <c r="B317" s="200" t="s">
        <v>36</v>
      </c>
      <c r="C317" s="223" t="s">
        <v>1260</v>
      </c>
      <c r="D317" s="245" t="s">
        <v>1218</v>
      </c>
      <c r="E317" s="165" t="s">
        <v>798</v>
      </c>
      <c r="F317" s="163">
        <v>43413</v>
      </c>
      <c r="G317" s="163">
        <v>44017</v>
      </c>
      <c r="H317" s="169">
        <v>17813798.739799999</v>
      </c>
      <c r="I317" s="213">
        <v>14119770.9288</v>
      </c>
      <c r="J317" s="168">
        <f t="shared" si="25"/>
        <v>3694027.8109999988</v>
      </c>
      <c r="K317" s="210">
        <v>0</v>
      </c>
      <c r="L317" s="210"/>
      <c r="M317" s="210"/>
      <c r="N317" s="549"/>
      <c r="O317" s="551"/>
      <c r="P317" s="332"/>
    </row>
    <row r="318" spans="1:16" s="7" customFormat="1" ht="49.5" customHeight="1">
      <c r="A318" s="329">
        <v>55</v>
      </c>
      <c r="B318" s="200" t="s">
        <v>36</v>
      </c>
      <c r="C318" s="223" t="s">
        <v>1261</v>
      </c>
      <c r="D318" s="245" t="s">
        <v>943</v>
      </c>
      <c r="E318" s="165" t="s">
        <v>798</v>
      </c>
      <c r="F318" s="163">
        <v>43392</v>
      </c>
      <c r="G318" s="163">
        <v>43891</v>
      </c>
      <c r="H318" s="169">
        <v>4030859.6567999995</v>
      </c>
      <c r="I318" s="213">
        <v>3817462.4635999994</v>
      </c>
      <c r="J318" s="168">
        <f t="shared" si="25"/>
        <v>213397.1932000001</v>
      </c>
      <c r="K318" s="210">
        <v>0</v>
      </c>
      <c r="L318" s="210"/>
      <c r="M318" s="210"/>
      <c r="N318" s="549"/>
      <c r="O318" s="551"/>
      <c r="P318" s="332"/>
    </row>
    <row r="319" spans="1:16" s="7" customFormat="1" ht="49.5" customHeight="1">
      <c r="A319" s="331">
        <v>56</v>
      </c>
      <c r="B319" s="200" t="s">
        <v>36</v>
      </c>
      <c r="C319" s="223" t="s">
        <v>1262</v>
      </c>
      <c r="D319" s="245" t="s">
        <v>30</v>
      </c>
      <c r="E319" s="165" t="s">
        <v>798</v>
      </c>
      <c r="F319" s="163">
        <v>43529</v>
      </c>
      <c r="G319" s="163">
        <v>44078</v>
      </c>
      <c r="H319" s="169">
        <v>12958885.7644</v>
      </c>
      <c r="I319" s="213">
        <v>12867979.951599998</v>
      </c>
      <c r="J319" s="168">
        <f t="shared" si="25"/>
        <v>90905.812800001353</v>
      </c>
      <c r="K319" s="210">
        <v>0</v>
      </c>
      <c r="L319" s="210"/>
      <c r="M319" s="210"/>
      <c r="N319" s="549"/>
      <c r="O319" s="551"/>
      <c r="P319" s="332"/>
    </row>
    <row r="320" spans="1:16" s="7" customFormat="1" ht="49.5" customHeight="1">
      <c r="A320" s="331">
        <v>57</v>
      </c>
      <c r="B320" s="200" t="s">
        <v>36</v>
      </c>
      <c r="C320" s="223" t="s">
        <v>1263</v>
      </c>
      <c r="D320" s="245" t="s">
        <v>806</v>
      </c>
      <c r="E320" s="165" t="s">
        <v>798</v>
      </c>
      <c r="F320" s="163">
        <v>43546</v>
      </c>
      <c r="G320" s="163">
        <v>43965</v>
      </c>
      <c r="H320" s="169">
        <v>12495585.562199999</v>
      </c>
      <c r="I320" s="213">
        <v>9328472.6522000004</v>
      </c>
      <c r="J320" s="168">
        <f t="shared" si="25"/>
        <v>3167112.9099999983</v>
      </c>
      <c r="K320" s="210">
        <v>0</v>
      </c>
      <c r="L320" s="210"/>
      <c r="M320" s="210"/>
      <c r="N320" s="549"/>
      <c r="O320" s="551"/>
      <c r="P320" s="332"/>
    </row>
    <row r="321" spans="1:16" s="7" customFormat="1" ht="31.5">
      <c r="A321" s="329">
        <v>58</v>
      </c>
      <c r="B321" s="200" t="s">
        <v>36</v>
      </c>
      <c r="C321" s="223" t="s">
        <v>1264</v>
      </c>
      <c r="D321" s="245" t="s">
        <v>853</v>
      </c>
      <c r="E321" s="165" t="s">
        <v>1208</v>
      </c>
      <c r="F321" s="163">
        <v>43507</v>
      </c>
      <c r="G321" s="163">
        <v>43756</v>
      </c>
      <c r="H321" s="169">
        <v>64900</v>
      </c>
      <c r="I321" s="213">
        <v>0</v>
      </c>
      <c r="J321" s="168">
        <f t="shared" si="25"/>
        <v>64900</v>
      </c>
      <c r="K321" s="210">
        <v>0</v>
      </c>
      <c r="L321" s="210"/>
      <c r="M321" s="210"/>
      <c r="N321" s="549"/>
      <c r="O321" s="551"/>
      <c r="P321" s="332"/>
    </row>
    <row r="322" spans="1:16" s="7" customFormat="1" ht="47.25">
      <c r="A322" s="331">
        <v>59</v>
      </c>
      <c r="B322" s="200" t="s">
        <v>36</v>
      </c>
      <c r="C322" s="223" t="s">
        <v>1265</v>
      </c>
      <c r="D322" s="245" t="s">
        <v>918</v>
      </c>
      <c r="E322" s="165" t="s">
        <v>1208</v>
      </c>
      <c r="F322" s="163">
        <v>43433</v>
      </c>
      <c r="G322" s="163">
        <v>43633</v>
      </c>
      <c r="H322" s="169">
        <v>81715</v>
      </c>
      <c r="I322" s="213">
        <v>0</v>
      </c>
      <c r="J322" s="168">
        <f t="shared" si="25"/>
        <v>81715</v>
      </c>
      <c r="K322" s="210">
        <v>0</v>
      </c>
      <c r="L322" s="210"/>
      <c r="M322" s="210"/>
      <c r="N322" s="549"/>
      <c r="O322" s="551"/>
      <c r="P322" s="332"/>
    </row>
    <row r="323" spans="1:16" s="7" customFormat="1" ht="30" customHeight="1">
      <c r="A323" s="331">
        <v>60</v>
      </c>
      <c r="B323" s="200" t="s">
        <v>36</v>
      </c>
      <c r="C323" s="223" t="s">
        <v>1266</v>
      </c>
      <c r="D323" s="245" t="s">
        <v>853</v>
      </c>
      <c r="E323" s="165" t="s">
        <v>1208</v>
      </c>
      <c r="F323" s="163">
        <v>43581</v>
      </c>
      <c r="G323" s="163">
        <v>43940</v>
      </c>
      <c r="H323" s="169">
        <v>826177</v>
      </c>
      <c r="I323" s="213">
        <v>0</v>
      </c>
      <c r="J323" s="168">
        <f t="shared" si="25"/>
        <v>826177</v>
      </c>
      <c r="K323" s="210">
        <v>0</v>
      </c>
      <c r="L323" s="210"/>
      <c r="M323" s="210"/>
      <c r="N323" s="549"/>
      <c r="O323" s="551"/>
      <c r="P323" s="332"/>
    </row>
    <row r="324" spans="1:16" s="7" customFormat="1" ht="49.5" customHeight="1">
      <c r="A324" s="329">
        <v>61</v>
      </c>
      <c r="B324" s="200" t="s">
        <v>36</v>
      </c>
      <c r="C324" s="223" t="s">
        <v>1267</v>
      </c>
      <c r="D324" s="245" t="s">
        <v>1218</v>
      </c>
      <c r="E324" s="165" t="s">
        <v>798</v>
      </c>
      <c r="F324" s="163">
        <v>43605</v>
      </c>
      <c r="G324" s="163">
        <v>43904</v>
      </c>
      <c r="H324" s="169">
        <v>2105715.0504000001</v>
      </c>
      <c r="I324" s="213">
        <v>1698595.318</v>
      </c>
      <c r="J324" s="168">
        <f t="shared" si="25"/>
        <v>407119.7324000001</v>
      </c>
      <c r="K324" s="210">
        <v>293615.64</v>
      </c>
      <c r="L324" s="210"/>
      <c r="M324" s="210"/>
      <c r="N324" s="549"/>
      <c r="O324" s="551"/>
      <c r="P324" s="332"/>
    </row>
    <row r="325" spans="1:16" s="7" customFormat="1" ht="42.75" customHeight="1">
      <c r="A325" s="331">
        <v>62</v>
      </c>
      <c r="B325" s="200" t="s">
        <v>36</v>
      </c>
      <c r="C325" s="223" t="s">
        <v>1268</v>
      </c>
      <c r="D325" s="245" t="s">
        <v>1269</v>
      </c>
      <c r="E325" s="165" t="s">
        <v>798</v>
      </c>
      <c r="F325" s="163">
        <v>43770</v>
      </c>
      <c r="G325" s="163">
        <v>44519</v>
      </c>
      <c r="H325" s="169">
        <v>11118010.060000001</v>
      </c>
      <c r="I325" s="213">
        <v>3149432.6352000004</v>
      </c>
      <c r="J325" s="168">
        <f t="shared" si="25"/>
        <v>7968577.4248000002</v>
      </c>
      <c r="K325" s="210">
        <v>613277.46</v>
      </c>
      <c r="L325" s="210"/>
      <c r="M325" s="210"/>
      <c r="N325" s="549"/>
      <c r="O325" s="551"/>
      <c r="P325" s="332"/>
    </row>
    <row r="326" spans="1:16" s="7" customFormat="1" ht="49.5" customHeight="1">
      <c r="A326" s="331">
        <v>63</v>
      </c>
      <c r="B326" s="200" t="s">
        <v>36</v>
      </c>
      <c r="C326" s="223" t="s">
        <v>1270</v>
      </c>
      <c r="D326" s="245" t="s">
        <v>853</v>
      </c>
      <c r="E326" s="165" t="s">
        <v>798</v>
      </c>
      <c r="F326" s="163">
        <v>43873</v>
      </c>
      <c r="G326" s="163"/>
      <c r="H326" s="169">
        <v>63487746.794999994</v>
      </c>
      <c r="I326" s="213">
        <v>9384920.9000000004</v>
      </c>
      <c r="J326" s="168">
        <f t="shared" si="25"/>
        <v>54102825.894999996</v>
      </c>
      <c r="K326" s="210">
        <v>3050285.11</v>
      </c>
      <c r="L326" s="210"/>
      <c r="M326" s="210"/>
      <c r="N326" s="549"/>
      <c r="O326" s="551"/>
      <c r="P326" s="332"/>
    </row>
    <row r="327" spans="1:16" s="7" customFormat="1" ht="34.5" customHeight="1">
      <c r="A327" s="329">
        <v>64</v>
      </c>
      <c r="B327" s="200" t="s">
        <v>36</v>
      </c>
      <c r="C327" s="223" t="s">
        <v>1271</v>
      </c>
      <c r="D327" s="245" t="s">
        <v>37</v>
      </c>
      <c r="E327" s="165" t="s">
        <v>798</v>
      </c>
      <c r="F327" s="163">
        <v>44084</v>
      </c>
      <c r="G327" s="163"/>
      <c r="H327" s="169">
        <v>393759.26219999994</v>
      </c>
      <c r="I327" s="213">
        <v>0</v>
      </c>
      <c r="J327" s="168">
        <f t="shared" si="25"/>
        <v>393759.26219999994</v>
      </c>
      <c r="K327" s="210">
        <v>0</v>
      </c>
      <c r="L327" s="210"/>
      <c r="M327" s="210"/>
      <c r="N327" s="549"/>
      <c r="O327" s="551"/>
      <c r="P327" s="332"/>
    </row>
    <row r="328" spans="1:16" s="7" customFormat="1" ht="35.25" customHeight="1">
      <c r="A328" s="331">
        <v>65</v>
      </c>
      <c r="B328" s="200" t="s">
        <v>36</v>
      </c>
      <c r="C328" s="223" t="s">
        <v>1272</v>
      </c>
      <c r="D328" s="245" t="s">
        <v>853</v>
      </c>
      <c r="E328" s="165" t="s">
        <v>798</v>
      </c>
      <c r="F328" s="163">
        <v>43949</v>
      </c>
      <c r="G328" s="163">
        <v>44040</v>
      </c>
      <c r="H328" s="169">
        <v>1847465.4187999999</v>
      </c>
      <c r="I328" s="213">
        <v>569634.71</v>
      </c>
      <c r="J328" s="168">
        <f t="shared" si="25"/>
        <v>1277830.7087999999</v>
      </c>
      <c r="K328" s="210">
        <v>658855.68999999994</v>
      </c>
      <c r="L328" s="210"/>
      <c r="M328" s="210"/>
      <c r="N328" s="549"/>
      <c r="O328" s="551"/>
      <c r="P328" s="332"/>
    </row>
    <row r="329" spans="1:16" s="7" customFormat="1" ht="21.75" customHeight="1">
      <c r="A329" s="331">
        <v>66</v>
      </c>
      <c r="B329" s="200" t="s">
        <v>36</v>
      </c>
      <c r="C329" s="223" t="s">
        <v>1273</v>
      </c>
      <c r="D329" s="245" t="s">
        <v>853</v>
      </c>
      <c r="E329" s="165" t="s">
        <v>798</v>
      </c>
      <c r="F329" s="163">
        <v>44035</v>
      </c>
      <c r="G329" s="163">
        <v>44188</v>
      </c>
      <c r="H329" s="169">
        <v>2222013.1481999997</v>
      </c>
      <c r="I329" s="213">
        <v>1631199.9300000002</v>
      </c>
      <c r="J329" s="168">
        <f t="shared" si="25"/>
        <v>590813.21819999954</v>
      </c>
      <c r="K329" s="210">
        <v>590813.23</v>
      </c>
      <c r="L329" s="210"/>
      <c r="M329" s="210"/>
      <c r="N329" s="549"/>
      <c r="O329" s="551"/>
      <c r="P329" s="332"/>
    </row>
    <row r="330" spans="1:16" s="7" customFormat="1" ht="49.5" customHeight="1">
      <c r="A330" s="329">
        <v>67</v>
      </c>
      <c r="B330" s="200" t="s">
        <v>36</v>
      </c>
      <c r="C330" s="223" t="s">
        <v>1274</v>
      </c>
      <c r="D330" s="245" t="s">
        <v>1218</v>
      </c>
      <c r="E330" s="165" t="s">
        <v>798</v>
      </c>
      <c r="F330" s="163">
        <v>43943</v>
      </c>
      <c r="G330" s="163">
        <v>44092</v>
      </c>
      <c r="H330" s="169">
        <v>2881306.1938</v>
      </c>
      <c r="I330" s="213">
        <v>2394853.46</v>
      </c>
      <c r="J330" s="168">
        <f t="shared" si="25"/>
        <v>486452.73380000005</v>
      </c>
      <c r="K330" s="210">
        <v>441492.92</v>
      </c>
      <c r="L330" s="210"/>
      <c r="M330" s="210"/>
      <c r="N330" s="549"/>
      <c r="O330" s="551"/>
      <c r="P330" s="333"/>
    </row>
    <row r="331" spans="1:16" s="7" customFormat="1" ht="27" customHeight="1">
      <c r="A331" s="331">
        <v>68</v>
      </c>
      <c r="B331" s="200" t="s">
        <v>36</v>
      </c>
      <c r="C331" s="223" t="s">
        <v>1275</v>
      </c>
      <c r="D331" s="245" t="s">
        <v>853</v>
      </c>
      <c r="E331" s="165" t="s">
        <v>798</v>
      </c>
      <c r="F331" s="163">
        <v>43986</v>
      </c>
      <c r="G331" s="163">
        <v>44089</v>
      </c>
      <c r="H331" s="169">
        <v>996552.01979999989</v>
      </c>
      <c r="I331" s="213">
        <v>160869.9</v>
      </c>
      <c r="J331" s="168">
        <f t="shared" si="25"/>
        <v>835682.11979999987</v>
      </c>
      <c r="K331" s="210">
        <v>835682.12</v>
      </c>
      <c r="L331" s="210"/>
      <c r="M331" s="210"/>
      <c r="N331" s="549"/>
      <c r="O331" s="551"/>
      <c r="P331" s="332"/>
    </row>
    <row r="332" spans="1:16" s="7" customFormat="1" ht="22.5" customHeight="1" thickBot="1">
      <c r="A332" s="331">
        <v>69</v>
      </c>
      <c r="B332" s="200" t="s">
        <v>36</v>
      </c>
      <c r="C332" s="223" t="s">
        <v>1276</v>
      </c>
      <c r="D332" s="245" t="s">
        <v>853</v>
      </c>
      <c r="E332" s="165" t="s">
        <v>798</v>
      </c>
      <c r="F332" s="163"/>
      <c r="G332" s="163"/>
      <c r="H332" s="169">
        <v>272580</v>
      </c>
      <c r="I332" s="213">
        <v>0</v>
      </c>
      <c r="J332" s="168">
        <f t="shared" si="25"/>
        <v>272580</v>
      </c>
      <c r="K332" s="210">
        <v>272580</v>
      </c>
      <c r="L332" s="210"/>
      <c r="M332" s="210"/>
      <c r="N332" s="549"/>
      <c r="O332" s="551"/>
      <c r="P332" s="332"/>
    </row>
    <row r="333" spans="1:16" s="104" customFormat="1" ht="30" customHeight="1" thickBot="1">
      <c r="A333" s="668" t="s">
        <v>54</v>
      </c>
      <c r="B333" s="669"/>
      <c r="C333" s="669"/>
      <c r="D333" s="669"/>
      <c r="E333" s="669"/>
      <c r="F333" s="669"/>
      <c r="G333" s="670"/>
      <c r="H333" s="552">
        <f t="shared" ref="H333:O333" si="26">SUM(H264:H332)</f>
        <v>550884883.97182882</v>
      </c>
      <c r="I333" s="552">
        <f t="shared" si="26"/>
        <v>316288520.17459977</v>
      </c>
      <c r="J333" s="552">
        <f t="shared" si="26"/>
        <v>236817820.59722897</v>
      </c>
      <c r="K333" s="552">
        <f t="shared" si="26"/>
        <v>77222976.279999986</v>
      </c>
      <c r="L333" s="552">
        <f t="shared" si="26"/>
        <v>43693774</v>
      </c>
      <c r="M333" s="552">
        <f t="shared" si="26"/>
        <v>15777675.24</v>
      </c>
      <c r="N333" s="552">
        <f t="shared" si="26"/>
        <v>0</v>
      </c>
      <c r="O333" s="552">
        <f t="shared" si="26"/>
        <v>0</v>
      </c>
      <c r="P333" s="121"/>
    </row>
    <row r="334" spans="1:16" s="14" customFormat="1" ht="18.75" customHeight="1" thickBot="1">
      <c r="A334" s="671"/>
      <c r="B334" s="672"/>
      <c r="C334" s="672"/>
      <c r="D334" s="672"/>
      <c r="E334" s="672"/>
      <c r="F334" s="672"/>
      <c r="G334" s="672"/>
      <c r="H334" s="672"/>
      <c r="I334" s="672"/>
      <c r="J334" s="672"/>
      <c r="K334" s="672"/>
      <c r="L334" s="672"/>
      <c r="M334" s="672"/>
      <c r="N334" s="672"/>
      <c r="O334" s="672"/>
      <c r="P334" s="673"/>
    </row>
    <row r="335" spans="1:16" s="14" customFormat="1" ht="30" customHeight="1" thickBot="1">
      <c r="A335" s="659" t="s">
        <v>178</v>
      </c>
      <c r="B335" s="660"/>
      <c r="C335" s="660"/>
      <c r="D335" s="660"/>
      <c r="E335" s="660"/>
      <c r="F335" s="660"/>
      <c r="G335" s="660"/>
      <c r="H335" s="660"/>
      <c r="I335" s="660"/>
      <c r="J335" s="660"/>
      <c r="K335" s="660"/>
      <c r="L335" s="660"/>
      <c r="M335" s="660"/>
      <c r="N335" s="660"/>
      <c r="O335" s="660"/>
      <c r="P335" s="661"/>
    </row>
    <row r="336" spans="1:16" ht="30" customHeight="1" thickBot="1">
      <c r="A336" s="665" t="s">
        <v>1877</v>
      </c>
      <c r="B336" s="666"/>
      <c r="C336" s="666"/>
      <c r="D336" s="666"/>
      <c r="E336" s="666"/>
      <c r="F336" s="666"/>
      <c r="G336" s="666"/>
      <c r="H336" s="666"/>
      <c r="I336" s="666"/>
      <c r="J336" s="666"/>
      <c r="K336" s="666"/>
      <c r="L336" s="666"/>
      <c r="M336" s="666"/>
      <c r="N336" s="666"/>
      <c r="O336" s="666"/>
      <c r="P336" s="667"/>
    </row>
    <row r="337" spans="1:16" s="31" customFormat="1" ht="47.25">
      <c r="A337" s="158">
        <v>1</v>
      </c>
      <c r="B337" s="200" t="s">
        <v>25</v>
      </c>
      <c r="C337" s="334" t="s">
        <v>28</v>
      </c>
      <c r="D337" s="259" t="s">
        <v>22</v>
      </c>
      <c r="E337" s="334" t="s">
        <v>295</v>
      </c>
      <c r="F337" s="259">
        <v>2016</v>
      </c>
      <c r="G337" s="259">
        <v>2021</v>
      </c>
      <c r="H337" s="335">
        <v>230804101</v>
      </c>
      <c r="I337" s="335">
        <v>226304101</v>
      </c>
      <c r="J337" s="335">
        <v>4500000</v>
      </c>
      <c r="K337" s="144"/>
      <c r="L337" s="335">
        <v>1125000</v>
      </c>
      <c r="M337" s="335">
        <v>1125000</v>
      </c>
      <c r="N337" s="335">
        <v>1125000</v>
      </c>
      <c r="O337" s="335">
        <v>1125000</v>
      </c>
      <c r="P337" s="334" t="s">
        <v>301</v>
      </c>
    </row>
    <row r="338" spans="1:16" s="31" customFormat="1" ht="31.5">
      <c r="A338" s="158">
        <v>2</v>
      </c>
      <c r="B338" s="200" t="s">
        <v>25</v>
      </c>
      <c r="C338" s="334" t="s">
        <v>29</v>
      </c>
      <c r="D338" s="259" t="s">
        <v>30</v>
      </c>
      <c r="E338" s="334" t="s">
        <v>295</v>
      </c>
      <c r="F338" s="259">
        <v>2016</v>
      </c>
      <c r="G338" s="259">
        <v>2023</v>
      </c>
      <c r="H338" s="335">
        <v>153274</v>
      </c>
      <c r="I338" s="335">
        <v>103274</v>
      </c>
      <c r="J338" s="335">
        <v>50000</v>
      </c>
      <c r="K338" s="144"/>
      <c r="L338" s="335">
        <v>12500</v>
      </c>
      <c r="M338" s="335">
        <v>12500</v>
      </c>
      <c r="N338" s="335">
        <v>12500</v>
      </c>
      <c r="O338" s="335">
        <v>12500</v>
      </c>
      <c r="P338" s="334" t="s">
        <v>302</v>
      </c>
    </row>
    <row r="339" spans="1:16" s="31" customFormat="1" ht="31.5">
      <c r="A339" s="158">
        <v>3</v>
      </c>
      <c r="B339" s="200" t="s">
        <v>25</v>
      </c>
      <c r="C339" s="334" t="s">
        <v>31</v>
      </c>
      <c r="D339" s="259" t="s">
        <v>32</v>
      </c>
      <c r="E339" s="334" t="s">
        <v>295</v>
      </c>
      <c r="F339" s="334">
        <v>2016</v>
      </c>
      <c r="G339" s="259">
        <v>2023</v>
      </c>
      <c r="H339" s="335">
        <v>50000</v>
      </c>
      <c r="I339" s="259">
        <v>0</v>
      </c>
      <c r="J339" s="335">
        <v>50000</v>
      </c>
      <c r="K339" s="144"/>
      <c r="L339" s="335">
        <v>12500</v>
      </c>
      <c r="M339" s="335">
        <v>12500</v>
      </c>
      <c r="N339" s="335">
        <v>12500</v>
      </c>
      <c r="O339" s="335">
        <v>12500</v>
      </c>
      <c r="P339" s="334" t="s">
        <v>302</v>
      </c>
    </row>
    <row r="340" spans="1:16" s="31" customFormat="1" ht="150" customHeight="1">
      <c r="A340" s="158">
        <v>4</v>
      </c>
      <c r="B340" s="200" t="s">
        <v>25</v>
      </c>
      <c r="C340" s="259" t="s">
        <v>296</v>
      </c>
      <c r="D340" s="334" t="s">
        <v>297</v>
      </c>
      <c r="E340" s="334" t="s">
        <v>298</v>
      </c>
      <c r="F340" s="259">
        <v>2021</v>
      </c>
      <c r="G340" s="259">
        <v>2023</v>
      </c>
      <c r="H340" s="335">
        <v>48000000</v>
      </c>
      <c r="I340" s="335">
        <v>0</v>
      </c>
      <c r="J340" s="335">
        <v>15000000</v>
      </c>
      <c r="K340" s="144"/>
      <c r="L340" s="335">
        <v>3750000</v>
      </c>
      <c r="M340" s="335">
        <v>3750000</v>
      </c>
      <c r="N340" s="335">
        <v>3750000</v>
      </c>
      <c r="O340" s="335">
        <v>3750000</v>
      </c>
      <c r="P340" s="334" t="s">
        <v>303</v>
      </c>
    </row>
    <row r="341" spans="1:16" s="31" customFormat="1" ht="131.25" customHeight="1">
      <c r="A341" s="158">
        <v>5</v>
      </c>
      <c r="B341" s="200" t="s">
        <v>25</v>
      </c>
      <c r="C341" s="334" t="s">
        <v>33</v>
      </c>
      <c r="D341" s="334" t="s">
        <v>297</v>
      </c>
      <c r="E341" s="334" t="s">
        <v>299</v>
      </c>
      <c r="F341" s="259">
        <v>2018</v>
      </c>
      <c r="G341" s="259">
        <v>2023</v>
      </c>
      <c r="H341" s="335">
        <v>9741674</v>
      </c>
      <c r="I341" s="335">
        <v>9741674</v>
      </c>
      <c r="J341" s="335">
        <v>15000000</v>
      </c>
      <c r="K341" s="144"/>
      <c r="L341" s="335">
        <v>3750000</v>
      </c>
      <c r="M341" s="335">
        <v>3750000</v>
      </c>
      <c r="N341" s="335">
        <v>3750000</v>
      </c>
      <c r="O341" s="335">
        <v>3750000</v>
      </c>
      <c r="P341" s="334" t="s">
        <v>304</v>
      </c>
    </row>
    <row r="342" spans="1:16" s="31" customFormat="1" ht="111" thickBot="1">
      <c r="A342" s="158">
        <v>6</v>
      </c>
      <c r="B342" s="200" t="s">
        <v>25</v>
      </c>
      <c r="C342" s="259" t="s">
        <v>34</v>
      </c>
      <c r="D342" s="334" t="s">
        <v>297</v>
      </c>
      <c r="E342" s="334" t="s">
        <v>300</v>
      </c>
      <c r="F342" s="259">
        <v>2021</v>
      </c>
      <c r="G342" s="259">
        <v>2021</v>
      </c>
      <c r="H342" s="335">
        <v>30250000</v>
      </c>
      <c r="I342" s="259">
        <v>0</v>
      </c>
      <c r="J342" s="335">
        <v>30250000</v>
      </c>
      <c r="K342" s="144"/>
      <c r="L342" s="335">
        <v>7562500</v>
      </c>
      <c r="M342" s="335">
        <v>7562500</v>
      </c>
      <c r="N342" s="335">
        <v>7562500</v>
      </c>
      <c r="O342" s="335">
        <v>7562500</v>
      </c>
      <c r="P342" s="334" t="s">
        <v>305</v>
      </c>
    </row>
    <row r="343" spans="1:16" s="33" customFormat="1" ht="30" customHeight="1" thickBot="1">
      <c r="A343" s="668" t="s">
        <v>20</v>
      </c>
      <c r="B343" s="669"/>
      <c r="C343" s="669"/>
      <c r="D343" s="669"/>
      <c r="E343" s="669"/>
      <c r="F343" s="669"/>
      <c r="G343" s="670"/>
      <c r="H343" s="146">
        <f t="shared" ref="H343:O343" si="27">SUM(H337:H342)</f>
        <v>318999049</v>
      </c>
      <c r="I343" s="146">
        <f t="shared" si="27"/>
        <v>236149049</v>
      </c>
      <c r="J343" s="146">
        <f t="shared" si="27"/>
        <v>64850000</v>
      </c>
      <c r="K343" s="146">
        <f t="shared" si="27"/>
        <v>0</v>
      </c>
      <c r="L343" s="146">
        <f t="shared" si="27"/>
        <v>16212500</v>
      </c>
      <c r="M343" s="146">
        <f t="shared" si="27"/>
        <v>16212500</v>
      </c>
      <c r="N343" s="146">
        <f t="shared" si="27"/>
        <v>16212500</v>
      </c>
      <c r="O343" s="146">
        <f t="shared" si="27"/>
        <v>16212500</v>
      </c>
      <c r="P343" s="117"/>
    </row>
    <row r="344" spans="1:16" s="58" customFormat="1" ht="19.5" customHeight="1" thickBot="1">
      <c r="A344" s="671"/>
      <c r="B344" s="672"/>
      <c r="C344" s="672"/>
      <c r="D344" s="672"/>
      <c r="E344" s="672"/>
      <c r="F344" s="672"/>
      <c r="G344" s="672"/>
      <c r="H344" s="672"/>
      <c r="I344" s="672"/>
      <c r="J344" s="672"/>
      <c r="K344" s="672"/>
      <c r="L344" s="672"/>
      <c r="M344" s="672"/>
      <c r="N344" s="672"/>
      <c r="O344" s="672"/>
      <c r="P344" s="673"/>
    </row>
    <row r="345" spans="1:16" s="58" customFormat="1" ht="30" customHeight="1" thickBot="1">
      <c r="A345" s="662" t="s">
        <v>179</v>
      </c>
      <c r="B345" s="663"/>
      <c r="C345" s="663"/>
      <c r="D345" s="663"/>
      <c r="E345" s="663"/>
      <c r="F345" s="663"/>
      <c r="G345" s="663"/>
      <c r="H345" s="663"/>
      <c r="I345" s="663"/>
      <c r="J345" s="663"/>
      <c r="K345" s="663"/>
      <c r="L345" s="663"/>
      <c r="M345" s="663"/>
      <c r="N345" s="663"/>
      <c r="O345" s="663"/>
      <c r="P345" s="664"/>
    </row>
    <row r="346" spans="1:16" ht="30" customHeight="1" thickBot="1">
      <c r="A346" s="665" t="s">
        <v>39</v>
      </c>
      <c r="B346" s="666"/>
      <c r="C346" s="666"/>
      <c r="D346" s="666"/>
      <c r="E346" s="666"/>
      <c r="F346" s="666"/>
      <c r="G346" s="666"/>
      <c r="H346" s="666"/>
      <c r="I346" s="666"/>
      <c r="J346" s="666"/>
      <c r="K346" s="666"/>
      <c r="L346" s="666"/>
      <c r="M346" s="666"/>
      <c r="N346" s="666"/>
      <c r="O346" s="666"/>
      <c r="P346" s="667"/>
    </row>
    <row r="347" spans="1:16" s="31" customFormat="1" ht="15.75">
      <c r="A347" s="170">
        <v>1</v>
      </c>
      <c r="B347" s="200" t="s">
        <v>36</v>
      </c>
      <c r="C347" s="161" t="s">
        <v>1600</v>
      </c>
      <c r="D347" s="171" t="s">
        <v>943</v>
      </c>
      <c r="E347" s="171" t="s">
        <v>36</v>
      </c>
      <c r="F347" s="187">
        <v>42205</v>
      </c>
      <c r="G347" s="187">
        <v>44460</v>
      </c>
      <c r="H347" s="176">
        <v>487694</v>
      </c>
      <c r="I347" s="176">
        <v>219462.3</v>
      </c>
      <c r="J347" s="176">
        <v>268231.7</v>
      </c>
      <c r="K347" s="159" t="s">
        <v>1529</v>
      </c>
      <c r="L347" s="176">
        <v>0</v>
      </c>
      <c r="M347" s="169">
        <f>J347/2</f>
        <v>134115.85</v>
      </c>
      <c r="N347" s="169">
        <v>134115.85</v>
      </c>
      <c r="O347" s="510" t="s">
        <v>1529</v>
      </c>
      <c r="P347" s="336"/>
    </row>
    <row r="348" spans="1:16" s="31" customFormat="1" ht="31.5">
      <c r="A348" s="171">
        <v>2</v>
      </c>
      <c r="B348" s="200" t="s">
        <v>36</v>
      </c>
      <c r="C348" s="161" t="s">
        <v>1601</v>
      </c>
      <c r="D348" s="171" t="s">
        <v>1632</v>
      </c>
      <c r="E348" s="171" t="s">
        <v>36</v>
      </c>
      <c r="F348" s="187">
        <v>43094</v>
      </c>
      <c r="G348" s="187">
        <v>44370</v>
      </c>
      <c r="H348" s="184">
        <v>28485731.18</v>
      </c>
      <c r="I348" s="184">
        <v>20015833.140000001</v>
      </c>
      <c r="J348" s="184">
        <f t="shared" ref="J348:J359" si="28">H348-I348</f>
        <v>8469898.0399999991</v>
      </c>
      <c r="K348" s="159" t="s">
        <v>1529</v>
      </c>
      <c r="L348" s="184">
        <v>3209871.4</v>
      </c>
      <c r="M348" s="144">
        <f>(J348-L348)</f>
        <v>5260026.6399999987</v>
      </c>
      <c r="N348" s="144" t="s">
        <v>1529</v>
      </c>
      <c r="O348" s="144" t="s">
        <v>1529</v>
      </c>
      <c r="P348" s="161"/>
    </row>
    <row r="349" spans="1:16" s="31" customFormat="1" ht="31.5">
      <c r="A349" s="171">
        <v>3</v>
      </c>
      <c r="B349" s="200" t="s">
        <v>36</v>
      </c>
      <c r="C349" s="161" t="s">
        <v>1602</v>
      </c>
      <c r="D349" s="171" t="s">
        <v>806</v>
      </c>
      <c r="E349" s="171" t="s">
        <v>36</v>
      </c>
      <c r="F349" s="187">
        <v>44243</v>
      </c>
      <c r="G349" s="187">
        <v>44482</v>
      </c>
      <c r="H349" s="184">
        <v>6242200</v>
      </c>
      <c r="I349" s="184">
        <v>0</v>
      </c>
      <c r="J349" s="184">
        <f t="shared" si="28"/>
        <v>6242200</v>
      </c>
      <c r="K349" s="159" t="s">
        <v>1529</v>
      </c>
      <c r="L349" s="184">
        <v>1127387.2</v>
      </c>
      <c r="M349" s="144">
        <f>(J349-L349)/3</f>
        <v>1704937.5999999999</v>
      </c>
      <c r="N349" s="144">
        <v>1704937.5999999999</v>
      </c>
      <c r="O349" s="144">
        <v>1704937.5999999999</v>
      </c>
      <c r="P349" s="161"/>
    </row>
    <row r="350" spans="1:16" s="31" customFormat="1" ht="15.75">
      <c r="A350" s="170">
        <v>4</v>
      </c>
      <c r="B350" s="200" t="s">
        <v>36</v>
      </c>
      <c r="C350" s="161" t="s">
        <v>1603</v>
      </c>
      <c r="D350" s="171" t="s">
        <v>966</v>
      </c>
      <c r="E350" s="171" t="s">
        <v>36</v>
      </c>
      <c r="F350" s="187">
        <v>44102</v>
      </c>
      <c r="G350" s="187">
        <v>44301</v>
      </c>
      <c r="H350" s="184">
        <v>2942108.12</v>
      </c>
      <c r="I350" s="184">
        <v>1582450.29</v>
      </c>
      <c r="J350" s="169">
        <f t="shared" si="28"/>
        <v>1359657.83</v>
      </c>
      <c r="K350" s="159" t="s">
        <v>1529</v>
      </c>
      <c r="L350" s="184">
        <v>1141013.57</v>
      </c>
      <c r="M350" s="144">
        <f>J350-L350</f>
        <v>218644.26</v>
      </c>
      <c r="N350" s="159" t="s">
        <v>1529</v>
      </c>
      <c r="O350" s="159" t="s">
        <v>1529</v>
      </c>
      <c r="P350" s="161"/>
    </row>
    <row r="351" spans="1:16" s="31" customFormat="1" ht="15.75">
      <c r="A351" s="171">
        <v>5</v>
      </c>
      <c r="B351" s="200" t="s">
        <v>36</v>
      </c>
      <c r="C351" s="161" t="s">
        <v>1604</v>
      </c>
      <c r="D351" s="171" t="s">
        <v>59</v>
      </c>
      <c r="E351" s="171" t="s">
        <v>36</v>
      </c>
      <c r="F351" s="187">
        <v>44232</v>
      </c>
      <c r="G351" s="187">
        <v>44411</v>
      </c>
      <c r="H351" s="184">
        <v>2928760</v>
      </c>
      <c r="I351" s="184">
        <v>0</v>
      </c>
      <c r="J351" s="184">
        <f t="shared" si="28"/>
        <v>2928760</v>
      </c>
      <c r="K351" s="159" t="s">
        <v>1529</v>
      </c>
      <c r="L351" s="184">
        <v>812411.66</v>
      </c>
      <c r="M351" s="144">
        <f>(J351-L351)/2</f>
        <v>1058174.17</v>
      </c>
      <c r="N351" s="144">
        <v>1058174.17</v>
      </c>
      <c r="O351" s="159" t="s">
        <v>1529</v>
      </c>
      <c r="P351" s="161"/>
    </row>
    <row r="352" spans="1:16" s="31" customFormat="1" ht="31.5">
      <c r="A352" s="171">
        <v>6</v>
      </c>
      <c r="B352" s="200" t="s">
        <v>36</v>
      </c>
      <c r="C352" s="161" t="s">
        <v>1605</v>
      </c>
      <c r="D352" s="171" t="s">
        <v>918</v>
      </c>
      <c r="E352" s="171" t="s">
        <v>36</v>
      </c>
      <c r="F352" s="187">
        <v>44083</v>
      </c>
      <c r="G352" s="187">
        <v>44262</v>
      </c>
      <c r="H352" s="184">
        <v>1722977</v>
      </c>
      <c r="I352" s="184">
        <v>529415.30000000005</v>
      </c>
      <c r="J352" s="184">
        <f t="shared" si="28"/>
        <v>1193561.7</v>
      </c>
      <c r="K352" s="159" t="s">
        <v>1529</v>
      </c>
      <c r="L352" s="184">
        <v>976117.71</v>
      </c>
      <c r="M352" s="159">
        <f>J352-L352</f>
        <v>217443.99</v>
      </c>
      <c r="N352" s="159" t="s">
        <v>1529</v>
      </c>
      <c r="O352" s="159" t="s">
        <v>1529</v>
      </c>
      <c r="P352" s="161"/>
    </row>
    <row r="353" spans="1:16" s="31" customFormat="1" ht="31.5">
      <c r="A353" s="170">
        <v>7</v>
      </c>
      <c r="B353" s="200" t="s">
        <v>36</v>
      </c>
      <c r="C353" s="161" t="s">
        <v>1606</v>
      </c>
      <c r="D353" s="171" t="s">
        <v>918</v>
      </c>
      <c r="E353" s="171" t="s">
        <v>36</v>
      </c>
      <c r="F353" s="187">
        <v>44104</v>
      </c>
      <c r="G353" s="187">
        <v>44378</v>
      </c>
      <c r="H353" s="184">
        <v>4141500</v>
      </c>
      <c r="I353" s="184">
        <v>776116.29</v>
      </c>
      <c r="J353" s="184">
        <f t="shared" si="28"/>
        <v>3365383.71</v>
      </c>
      <c r="K353" s="159" t="s">
        <v>1529</v>
      </c>
      <c r="L353" s="184">
        <v>304685.71999999997</v>
      </c>
      <c r="M353" s="159">
        <f>(J353-L353)/2</f>
        <v>1530348.9950000001</v>
      </c>
      <c r="N353" s="159">
        <v>1530348.9950000001</v>
      </c>
      <c r="O353" s="159"/>
      <c r="P353" s="161"/>
    </row>
    <row r="354" spans="1:16" s="31" customFormat="1" ht="31.5">
      <c r="A354" s="171">
        <v>8</v>
      </c>
      <c r="B354" s="200" t="s">
        <v>36</v>
      </c>
      <c r="C354" s="161" t="s">
        <v>1607</v>
      </c>
      <c r="D354" s="171" t="s">
        <v>1608</v>
      </c>
      <c r="E354" s="171" t="s">
        <v>36</v>
      </c>
      <c r="F354" s="187">
        <v>43990</v>
      </c>
      <c r="G354" s="187">
        <v>44263</v>
      </c>
      <c r="H354" s="184">
        <v>4653920</v>
      </c>
      <c r="I354" s="184">
        <v>2965203.28</v>
      </c>
      <c r="J354" s="184">
        <f t="shared" si="28"/>
        <v>1688716.7200000002</v>
      </c>
      <c r="K354" s="159" t="s">
        <v>1529</v>
      </c>
      <c r="L354" s="184">
        <v>1584755.74</v>
      </c>
      <c r="M354" s="144">
        <f>J354-L354</f>
        <v>103960.98000000021</v>
      </c>
      <c r="N354" s="159" t="s">
        <v>1529</v>
      </c>
      <c r="O354" s="159" t="s">
        <v>1529</v>
      </c>
      <c r="P354" s="161"/>
    </row>
    <row r="355" spans="1:16" s="31" customFormat="1" ht="31.5">
      <c r="A355" s="171">
        <v>9</v>
      </c>
      <c r="B355" s="200" t="s">
        <v>36</v>
      </c>
      <c r="C355" s="161" t="s">
        <v>1609</v>
      </c>
      <c r="D355" s="171" t="s">
        <v>834</v>
      </c>
      <c r="E355" s="171" t="s">
        <v>36</v>
      </c>
      <c r="F355" s="187">
        <v>43983</v>
      </c>
      <c r="G355" s="187">
        <v>44196</v>
      </c>
      <c r="H355" s="184">
        <v>5074000</v>
      </c>
      <c r="I355" s="184">
        <v>0</v>
      </c>
      <c r="J355" s="184">
        <f t="shared" si="28"/>
        <v>5074000</v>
      </c>
      <c r="K355" s="159" t="s">
        <v>1529</v>
      </c>
      <c r="L355" s="184">
        <v>0</v>
      </c>
      <c r="M355" s="144">
        <f>J355/3</f>
        <v>1691333.3333333333</v>
      </c>
      <c r="N355" s="144">
        <v>1691333.3333333333</v>
      </c>
      <c r="O355" s="144">
        <v>1691333.3333333333</v>
      </c>
      <c r="P355" s="161"/>
    </row>
    <row r="356" spans="1:16" s="31" customFormat="1" ht="31.5">
      <c r="A356" s="170">
        <v>10</v>
      </c>
      <c r="B356" s="200" t="s">
        <v>36</v>
      </c>
      <c r="C356" s="161" t="s">
        <v>1610</v>
      </c>
      <c r="D356" s="171" t="s">
        <v>22</v>
      </c>
      <c r="E356" s="171" t="s">
        <v>36</v>
      </c>
      <c r="F356" s="187">
        <v>43983</v>
      </c>
      <c r="G356" s="187">
        <v>44196</v>
      </c>
      <c r="H356" s="184">
        <v>885000</v>
      </c>
      <c r="I356" s="184">
        <v>0</v>
      </c>
      <c r="J356" s="184">
        <f t="shared" si="28"/>
        <v>885000</v>
      </c>
      <c r="K356" s="159" t="s">
        <v>1529</v>
      </c>
      <c r="L356" s="184">
        <v>0</v>
      </c>
      <c r="M356" s="144">
        <f>J356/3</f>
        <v>295000</v>
      </c>
      <c r="N356" s="144">
        <v>295000</v>
      </c>
      <c r="O356" s="144">
        <v>295000</v>
      </c>
      <c r="P356" s="161"/>
    </row>
    <row r="357" spans="1:16" s="31" customFormat="1" ht="31.5">
      <c r="A357" s="171">
        <v>11</v>
      </c>
      <c r="B357" s="200" t="s">
        <v>36</v>
      </c>
      <c r="C357" s="161" t="s">
        <v>1611</v>
      </c>
      <c r="D357" s="171" t="s">
        <v>30</v>
      </c>
      <c r="E357" s="171" t="s">
        <v>36</v>
      </c>
      <c r="F357" s="187">
        <v>43983</v>
      </c>
      <c r="G357" s="187">
        <v>44196</v>
      </c>
      <c r="H357" s="184">
        <v>204160.5</v>
      </c>
      <c r="I357" s="184">
        <v>0</v>
      </c>
      <c r="J357" s="184">
        <f t="shared" si="28"/>
        <v>204160.5</v>
      </c>
      <c r="K357" s="159" t="s">
        <v>1529</v>
      </c>
      <c r="L357" s="184">
        <v>0</v>
      </c>
      <c r="M357" s="144">
        <f>J357/3</f>
        <v>68053.5</v>
      </c>
      <c r="N357" s="144">
        <v>68053.5</v>
      </c>
      <c r="O357" s="144">
        <v>68053.5</v>
      </c>
      <c r="P357" s="161"/>
    </row>
    <row r="358" spans="1:16" s="31" customFormat="1" ht="31.5">
      <c r="A358" s="171">
        <v>12</v>
      </c>
      <c r="B358" s="200" t="s">
        <v>36</v>
      </c>
      <c r="C358" s="161" t="s">
        <v>1612</v>
      </c>
      <c r="D358" s="171" t="s">
        <v>819</v>
      </c>
      <c r="E358" s="171" t="s">
        <v>36</v>
      </c>
      <c r="F358" s="187">
        <v>44208</v>
      </c>
      <c r="G358" s="187">
        <v>44298</v>
      </c>
      <c r="H358" s="184">
        <v>507526.35</v>
      </c>
      <c r="I358" s="184">
        <v>0</v>
      </c>
      <c r="J358" s="184">
        <f t="shared" si="28"/>
        <v>507526.35</v>
      </c>
      <c r="K358" s="159" t="s">
        <v>1529</v>
      </c>
      <c r="L358" s="184">
        <v>73884.259999999995</v>
      </c>
      <c r="M358" s="144">
        <f>(J358-L358)</f>
        <v>433642.08999999997</v>
      </c>
      <c r="N358" s="144" t="s">
        <v>1529</v>
      </c>
      <c r="O358" s="144" t="s">
        <v>1529</v>
      </c>
      <c r="P358" s="161"/>
    </row>
    <row r="359" spans="1:16" s="31" customFormat="1" ht="31.5">
      <c r="A359" s="170">
        <v>13</v>
      </c>
      <c r="B359" s="200" t="s">
        <v>36</v>
      </c>
      <c r="C359" s="161" t="s">
        <v>1613</v>
      </c>
      <c r="D359" s="171" t="s">
        <v>931</v>
      </c>
      <c r="E359" s="171" t="s">
        <v>36</v>
      </c>
      <c r="F359" s="187">
        <v>44228</v>
      </c>
      <c r="G359" s="187">
        <v>44377</v>
      </c>
      <c r="H359" s="184">
        <v>2381075.673</v>
      </c>
      <c r="I359" s="184">
        <v>0</v>
      </c>
      <c r="J359" s="184">
        <f t="shared" si="28"/>
        <v>2381075.673</v>
      </c>
      <c r="K359" s="159" t="s">
        <v>1529</v>
      </c>
      <c r="L359" s="184">
        <v>0</v>
      </c>
      <c r="M359" s="144">
        <f>J359</f>
        <v>2381075.673</v>
      </c>
      <c r="N359" s="144" t="s">
        <v>1529</v>
      </c>
      <c r="O359" s="144" t="s">
        <v>1529</v>
      </c>
      <c r="P359" s="161"/>
    </row>
    <row r="360" spans="1:16" s="31" customFormat="1" ht="15.75">
      <c r="A360" s="171">
        <v>14</v>
      </c>
      <c r="B360" s="200" t="s">
        <v>36</v>
      </c>
      <c r="C360" s="161" t="s">
        <v>1614</v>
      </c>
      <c r="D360" s="171" t="s">
        <v>838</v>
      </c>
      <c r="E360" s="171" t="s">
        <v>36</v>
      </c>
      <c r="F360" s="187">
        <v>44348</v>
      </c>
      <c r="G360" s="187">
        <v>44621</v>
      </c>
      <c r="H360" s="184">
        <v>12000000</v>
      </c>
      <c r="I360" s="184">
        <v>0</v>
      </c>
      <c r="J360" s="184">
        <v>12000000</v>
      </c>
      <c r="K360" s="159" t="s">
        <v>1529</v>
      </c>
      <c r="L360" s="184">
        <v>0</v>
      </c>
      <c r="M360" s="144">
        <f t="shared" ref="M360:M365" si="29">J360/3</f>
        <v>4000000</v>
      </c>
      <c r="N360" s="144">
        <v>4000000</v>
      </c>
      <c r="O360" s="144">
        <v>4000000</v>
      </c>
      <c r="P360" s="161"/>
    </row>
    <row r="361" spans="1:16" s="31" customFormat="1" ht="31.5">
      <c r="A361" s="171">
        <v>15</v>
      </c>
      <c r="B361" s="200" t="s">
        <v>36</v>
      </c>
      <c r="C361" s="161" t="s">
        <v>1615</v>
      </c>
      <c r="D361" s="171" t="s">
        <v>1616</v>
      </c>
      <c r="E361" s="171" t="s">
        <v>36</v>
      </c>
      <c r="F361" s="187">
        <v>44348</v>
      </c>
      <c r="G361" s="187">
        <v>44621</v>
      </c>
      <c r="H361" s="184">
        <v>4500000</v>
      </c>
      <c r="I361" s="184">
        <v>0</v>
      </c>
      <c r="J361" s="184">
        <v>4500000</v>
      </c>
      <c r="K361" s="159" t="s">
        <v>1529</v>
      </c>
      <c r="L361" s="184">
        <v>0</v>
      </c>
      <c r="M361" s="144">
        <f t="shared" si="29"/>
        <v>1500000</v>
      </c>
      <c r="N361" s="144">
        <v>1500000</v>
      </c>
      <c r="O361" s="144">
        <v>1500000</v>
      </c>
      <c r="P361" s="161"/>
    </row>
    <row r="362" spans="1:16" s="31" customFormat="1" ht="15.75">
      <c r="A362" s="170">
        <v>16</v>
      </c>
      <c r="B362" s="200" t="s">
        <v>36</v>
      </c>
      <c r="C362" s="161" t="s">
        <v>1617</v>
      </c>
      <c r="D362" s="171" t="s">
        <v>1269</v>
      </c>
      <c r="E362" s="171" t="s">
        <v>36</v>
      </c>
      <c r="F362" s="187">
        <v>44348</v>
      </c>
      <c r="G362" s="187">
        <v>44621</v>
      </c>
      <c r="H362" s="184">
        <v>9000000</v>
      </c>
      <c r="I362" s="184">
        <v>0</v>
      </c>
      <c r="J362" s="184">
        <v>9000000</v>
      </c>
      <c r="K362" s="159" t="s">
        <v>1529</v>
      </c>
      <c r="L362" s="184">
        <v>0</v>
      </c>
      <c r="M362" s="144">
        <f t="shared" si="29"/>
        <v>3000000</v>
      </c>
      <c r="N362" s="144">
        <v>3000000</v>
      </c>
      <c r="O362" s="144">
        <v>3000000</v>
      </c>
      <c r="P362" s="161"/>
    </row>
    <row r="363" spans="1:16" s="31" customFormat="1" ht="15.75">
      <c r="A363" s="171">
        <v>17</v>
      </c>
      <c r="B363" s="200" t="s">
        <v>36</v>
      </c>
      <c r="C363" s="161" t="s">
        <v>1618</v>
      </c>
      <c r="D363" s="171" t="s">
        <v>38</v>
      </c>
      <c r="E363" s="171" t="s">
        <v>36</v>
      </c>
      <c r="F363" s="187">
        <v>44348</v>
      </c>
      <c r="G363" s="187">
        <v>44621</v>
      </c>
      <c r="H363" s="184">
        <v>2275000</v>
      </c>
      <c r="I363" s="184">
        <v>0</v>
      </c>
      <c r="J363" s="184">
        <v>2275000</v>
      </c>
      <c r="K363" s="159" t="s">
        <v>1529</v>
      </c>
      <c r="L363" s="184">
        <v>0</v>
      </c>
      <c r="M363" s="144">
        <f t="shared" si="29"/>
        <v>758333.33333333337</v>
      </c>
      <c r="N363" s="144">
        <v>758333.33333333337</v>
      </c>
      <c r="O363" s="144">
        <v>758333.33333333337</v>
      </c>
      <c r="P363" s="161"/>
    </row>
    <row r="364" spans="1:16" s="31" customFormat="1" ht="15.75">
      <c r="A364" s="171">
        <v>18</v>
      </c>
      <c r="B364" s="200" t="s">
        <v>36</v>
      </c>
      <c r="C364" s="161" t="s">
        <v>1619</v>
      </c>
      <c r="D364" s="171" t="s">
        <v>814</v>
      </c>
      <c r="E364" s="171" t="s">
        <v>36</v>
      </c>
      <c r="F364" s="187">
        <v>44348</v>
      </c>
      <c r="G364" s="187">
        <v>44621</v>
      </c>
      <c r="H364" s="184">
        <v>3750000</v>
      </c>
      <c r="I364" s="184">
        <v>0</v>
      </c>
      <c r="J364" s="184">
        <v>3750000</v>
      </c>
      <c r="K364" s="159" t="s">
        <v>1529</v>
      </c>
      <c r="L364" s="184">
        <v>0</v>
      </c>
      <c r="M364" s="144">
        <f t="shared" si="29"/>
        <v>1250000</v>
      </c>
      <c r="N364" s="144">
        <v>1250000</v>
      </c>
      <c r="O364" s="144">
        <v>1250000</v>
      </c>
      <c r="P364" s="161"/>
    </row>
    <row r="365" spans="1:16" s="31" customFormat="1" ht="15.75">
      <c r="A365" s="170">
        <v>19</v>
      </c>
      <c r="B365" s="200" t="s">
        <v>36</v>
      </c>
      <c r="C365" s="161" t="s">
        <v>1620</v>
      </c>
      <c r="D365" s="171" t="s">
        <v>1621</v>
      </c>
      <c r="E365" s="171" t="s">
        <v>36</v>
      </c>
      <c r="F365" s="187">
        <v>44348</v>
      </c>
      <c r="G365" s="187">
        <v>44621</v>
      </c>
      <c r="H365" s="184">
        <v>1000000</v>
      </c>
      <c r="I365" s="184">
        <v>0</v>
      </c>
      <c r="J365" s="184">
        <v>1000000</v>
      </c>
      <c r="K365" s="159" t="s">
        <v>1529</v>
      </c>
      <c r="L365" s="184">
        <v>0</v>
      </c>
      <c r="M365" s="144">
        <f t="shared" si="29"/>
        <v>333333.33333333331</v>
      </c>
      <c r="N365" s="144">
        <v>333333.33333333331</v>
      </c>
      <c r="O365" s="144">
        <v>333333.33333333331</v>
      </c>
      <c r="P365" s="161"/>
    </row>
    <row r="366" spans="1:16" s="31" customFormat="1" ht="31.5">
      <c r="A366" s="171">
        <v>20</v>
      </c>
      <c r="B366" s="200" t="s">
        <v>36</v>
      </c>
      <c r="C366" s="161" t="s">
        <v>1622</v>
      </c>
      <c r="D366" s="171" t="s">
        <v>38</v>
      </c>
      <c r="E366" s="171" t="s">
        <v>36</v>
      </c>
      <c r="F366" s="187">
        <v>44225</v>
      </c>
      <c r="G366" s="187">
        <v>44375</v>
      </c>
      <c r="H366" s="184">
        <v>1826976.3</v>
      </c>
      <c r="I366" s="184">
        <v>0</v>
      </c>
      <c r="J366" s="184">
        <f>H366-I366</f>
        <v>1826976.3</v>
      </c>
      <c r="K366" s="159" t="s">
        <v>1529</v>
      </c>
      <c r="L366" s="184">
        <v>0</v>
      </c>
      <c r="M366" s="144">
        <f>J366</f>
        <v>1826976.3</v>
      </c>
      <c r="N366" s="144" t="s">
        <v>1529</v>
      </c>
      <c r="O366" s="144" t="s">
        <v>1529</v>
      </c>
      <c r="P366" s="161"/>
    </row>
    <row r="367" spans="1:16" s="31" customFormat="1" ht="30" customHeight="1">
      <c r="A367" s="171">
        <v>21</v>
      </c>
      <c r="B367" s="200" t="s">
        <v>36</v>
      </c>
      <c r="C367" s="161" t="s">
        <v>1623</v>
      </c>
      <c r="D367" s="171" t="s">
        <v>1218</v>
      </c>
      <c r="E367" s="171" t="s">
        <v>1624</v>
      </c>
      <c r="F367" s="308">
        <v>2017</v>
      </c>
      <c r="G367" s="308" t="s">
        <v>700</v>
      </c>
      <c r="H367" s="184">
        <v>100000000</v>
      </c>
      <c r="I367" s="184">
        <v>0</v>
      </c>
      <c r="J367" s="184">
        <v>21747190.719999999</v>
      </c>
      <c r="K367" s="159" t="s">
        <v>1529</v>
      </c>
      <c r="L367" s="169">
        <f>J367/4</f>
        <v>5436797.6799999997</v>
      </c>
      <c r="M367" s="144">
        <v>5400000</v>
      </c>
      <c r="N367" s="144">
        <v>5400000</v>
      </c>
      <c r="O367" s="144">
        <v>5400000</v>
      </c>
      <c r="P367" s="161"/>
    </row>
    <row r="368" spans="1:16" s="31" customFormat="1" ht="30" customHeight="1">
      <c r="A368" s="170">
        <v>22</v>
      </c>
      <c r="B368" s="200" t="s">
        <v>36</v>
      </c>
      <c r="C368" s="161" t="s">
        <v>1625</v>
      </c>
      <c r="D368" s="171" t="s">
        <v>1633</v>
      </c>
      <c r="E368" s="171" t="s">
        <v>1624</v>
      </c>
      <c r="F368" s="309" t="s">
        <v>707</v>
      </c>
      <c r="G368" s="309" t="s">
        <v>706</v>
      </c>
      <c r="H368" s="184">
        <v>115000000</v>
      </c>
      <c r="I368" s="184">
        <v>0</v>
      </c>
      <c r="J368" s="184">
        <v>20000000</v>
      </c>
      <c r="K368" s="159" t="s">
        <v>1529</v>
      </c>
      <c r="L368" s="169">
        <v>0</v>
      </c>
      <c r="M368" s="144">
        <v>7000000</v>
      </c>
      <c r="N368" s="144">
        <v>7000000</v>
      </c>
      <c r="O368" s="144">
        <v>6000000</v>
      </c>
      <c r="P368" s="161"/>
    </row>
    <row r="369" spans="1:16" s="31" customFormat="1" ht="30" customHeight="1">
      <c r="A369" s="171">
        <v>23</v>
      </c>
      <c r="B369" s="200" t="s">
        <v>36</v>
      </c>
      <c r="C369" s="161" t="s">
        <v>1626</v>
      </c>
      <c r="D369" s="171" t="s">
        <v>1634</v>
      </c>
      <c r="E369" s="171" t="s">
        <v>1624</v>
      </c>
      <c r="F369" s="309" t="s">
        <v>707</v>
      </c>
      <c r="G369" s="309" t="s">
        <v>706</v>
      </c>
      <c r="H369" s="184">
        <v>102000000</v>
      </c>
      <c r="I369" s="184">
        <v>0</v>
      </c>
      <c r="J369" s="184">
        <v>20000000</v>
      </c>
      <c r="K369" s="159" t="s">
        <v>1529</v>
      </c>
      <c r="L369" s="169">
        <v>5000000</v>
      </c>
      <c r="M369" s="169">
        <v>5000000</v>
      </c>
      <c r="N369" s="169">
        <v>5000000</v>
      </c>
      <c r="O369" s="169">
        <v>5000000</v>
      </c>
      <c r="P369" s="161"/>
    </row>
    <row r="370" spans="1:16" s="31" customFormat="1" ht="30" customHeight="1">
      <c r="A370" s="171">
        <v>24</v>
      </c>
      <c r="B370" s="200" t="s">
        <v>36</v>
      </c>
      <c r="C370" s="161" t="s">
        <v>1627</v>
      </c>
      <c r="D370" s="171" t="s">
        <v>821</v>
      </c>
      <c r="E370" s="171" t="s">
        <v>1624</v>
      </c>
      <c r="F370" s="309" t="s">
        <v>1628</v>
      </c>
      <c r="G370" s="309" t="s">
        <v>706</v>
      </c>
      <c r="H370" s="184">
        <v>280000000</v>
      </c>
      <c r="I370" s="184">
        <v>0</v>
      </c>
      <c r="J370" s="184">
        <v>7000000</v>
      </c>
      <c r="K370" s="159" t="s">
        <v>1529</v>
      </c>
      <c r="L370" s="169">
        <v>0</v>
      </c>
      <c r="M370" s="144">
        <v>2300000</v>
      </c>
      <c r="N370" s="144">
        <v>2300000</v>
      </c>
      <c r="O370" s="144">
        <v>2300000</v>
      </c>
      <c r="P370" s="161"/>
    </row>
    <row r="371" spans="1:16" s="31" customFormat="1" ht="30" customHeight="1">
      <c r="A371" s="170">
        <v>25</v>
      </c>
      <c r="B371" s="200" t="s">
        <v>36</v>
      </c>
      <c r="C371" s="161" t="s">
        <v>1629</v>
      </c>
      <c r="D371" s="171" t="s">
        <v>803</v>
      </c>
      <c r="E371" s="171" t="s">
        <v>1624</v>
      </c>
      <c r="F371" s="309" t="s">
        <v>1630</v>
      </c>
      <c r="G371" s="308" t="s">
        <v>706</v>
      </c>
      <c r="H371" s="184">
        <v>330000000</v>
      </c>
      <c r="I371" s="184">
        <v>0</v>
      </c>
      <c r="J371" s="184">
        <v>50000000</v>
      </c>
      <c r="K371" s="159" t="s">
        <v>1529</v>
      </c>
      <c r="L371" s="169">
        <v>12500000</v>
      </c>
      <c r="M371" s="169">
        <v>12500000</v>
      </c>
      <c r="N371" s="169">
        <v>12500000</v>
      </c>
      <c r="O371" s="169">
        <v>12500000</v>
      </c>
      <c r="P371" s="161"/>
    </row>
    <row r="372" spans="1:16" s="31" customFormat="1" ht="32.25" thickBot="1">
      <c r="A372" s="171">
        <v>26</v>
      </c>
      <c r="B372" s="200" t="s">
        <v>36</v>
      </c>
      <c r="C372" s="161" t="s">
        <v>1631</v>
      </c>
      <c r="D372" s="171" t="s">
        <v>1635</v>
      </c>
      <c r="E372" s="171" t="s">
        <v>1624</v>
      </c>
      <c r="F372" s="308" t="s">
        <v>705</v>
      </c>
      <c r="G372" s="309" t="s">
        <v>700</v>
      </c>
      <c r="H372" s="184">
        <v>82500000</v>
      </c>
      <c r="I372" s="184">
        <v>0</v>
      </c>
      <c r="J372" s="184">
        <v>23638594.09</v>
      </c>
      <c r="K372" s="159" t="s">
        <v>1529</v>
      </c>
      <c r="L372" s="169">
        <f>J372/4</f>
        <v>5909648.5225</v>
      </c>
      <c r="M372" s="169">
        <v>5900000</v>
      </c>
      <c r="N372" s="169">
        <v>5900000</v>
      </c>
      <c r="O372" s="169">
        <v>5900000</v>
      </c>
      <c r="P372" s="161"/>
    </row>
    <row r="373" spans="1:16" s="31" customFormat="1" ht="30" customHeight="1" thickBot="1">
      <c r="A373" s="668" t="s">
        <v>20</v>
      </c>
      <c r="B373" s="669"/>
      <c r="C373" s="669"/>
      <c r="D373" s="669"/>
      <c r="E373" s="669"/>
      <c r="F373" s="669"/>
      <c r="G373" s="670"/>
      <c r="H373" s="553">
        <f t="shared" ref="H373:O373" si="30">SUM(H347:H372)</f>
        <v>1104508629.1230001</v>
      </c>
      <c r="I373" s="553">
        <f t="shared" si="30"/>
        <v>26088480.600000001</v>
      </c>
      <c r="J373" s="553">
        <f t="shared" si="30"/>
        <v>211305933.333</v>
      </c>
      <c r="K373" s="553">
        <f t="shared" si="30"/>
        <v>0</v>
      </c>
      <c r="L373" s="553">
        <f t="shared" si="30"/>
        <v>38076573.462499999</v>
      </c>
      <c r="M373" s="553">
        <f t="shared" si="30"/>
        <v>65865400.047999993</v>
      </c>
      <c r="N373" s="553">
        <f t="shared" si="30"/>
        <v>55423630.114999995</v>
      </c>
      <c r="O373" s="553">
        <f t="shared" si="30"/>
        <v>51700991.100000001</v>
      </c>
      <c r="P373" s="113"/>
    </row>
    <row r="374" spans="1:16" s="7" customFormat="1" ht="19.5" customHeight="1" thickBot="1">
      <c r="A374" s="671"/>
      <c r="B374" s="672"/>
      <c r="C374" s="672"/>
      <c r="D374" s="672"/>
      <c r="E374" s="672"/>
      <c r="F374" s="672"/>
      <c r="G374" s="672"/>
      <c r="H374" s="672"/>
      <c r="I374" s="672"/>
      <c r="J374" s="672"/>
      <c r="K374" s="672"/>
      <c r="L374" s="672"/>
      <c r="M374" s="672"/>
      <c r="N374" s="672"/>
      <c r="O374" s="672"/>
      <c r="P374" s="673"/>
    </row>
    <row r="375" spans="1:16" ht="30" customHeight="1" thickBot="1">
      <c r="A375" s="652" t="s">
        <v>1911</v>
      </c>
      <c r="B375" s="653"/>
      <c r="C375" s="653"/>
      <c r="D375" s="658"/>
      <c r="E375" s="658"/>
      <c r="F375" s="653"/>
      <c r="G375" s="653"/>
      <c r="H375" s="653"/>
      <c r="I375" s="653"/>
      <c r="J375" s="653"/>
      <c r="K375" s="653"/>
      <c r="L375" s="653"/>
      <c r="M375" s="653"/>
      <c r="N375" s="653"/>
      <c r="O375" s="653"/>
      <c r="P375" s="654"/>
    </row>
    <row r="376" spans="1:16" s="101" customFormat="1" ht="23.25" customHeight="1">
      <c r="A376" s="200">
        <v>1</v>
      </c>
      <c r="B376" s="200" t="s">
        <v>45</v>
      </c>
      <c r="C376" s="336" t="s">
        <v>35</v>
      </c>
      <c r="D376" s="158" t="s">
        <v>187</v>
      </c>
      <c r="E376" s="158" t="s">
        <v>108</v>
      </c>
      <c r="F376" s="170">
        <v>2021</v>
      </c>
      <c r="G376" s="170">
        <v>2021</v>
      </c>
      <c r="H376" s="147">
        <v>13352000</v>
      </c>
      <c r="I376" s="147">
        <v>58379</v>
      </c>
      <c r="J376" s="147">
        <v>13352000</v>
      </c>
      <c r="K376" s="147"/>
      <c r="L376" s="147">
        <v>2500000</v>
      </c>
      <c r="M376" s="147">
        <v>5000000</v>
      </c>
      <c r="N376" s="147">
        <v>5000000</v>
      </c>
      <c r="O376" s="147">
        <v>1352000</v>
      </c>
      <c r="P376" s="366"/>
    </row>
    <row r="377" spans="1:16" s="101" customFormat="1" ht="23.25" customHeight="1" thickBot="1">
      <c r="A377" s="158">
        <v>2</v>
      </c>
      <c r="B377" s="200" t="s">
        <v>45</v>
      </c>
      <c r="C377" s="161" t="s">
        <v>322</v>
      </c>
      <c r="D377" s="158" t="s">
        <v>187</v>
      </c>
      <c r="E377" s="158" t="s">
        <v>108</v>
      </c>
      <c r="F377" s="170">
        <v>2021</v>
      </c>
      <c r="G377" s="171">
        <v>2021</v>
      </c>
      <c r="H377" s="141">
        <v>1473000</v>
      </c>
      <c r="I377" s="141">
        <v>0</v>
      </c>
      <c r="J377" s="141">
        <v>1473000</v>
      </c>
      <c r="K377" s="141"/>
      <c r="L377" s="141">
        <v>400000</v>
      </c>
      <c r="M377" s="141">
        <v>350000</v>
      </c>
      <c r="N377" s="141">
        <v>400000</v>
      </c>
      <c r="O377" s="141">
        <v>323000</v>
      </c>
      <c r="P377" s="140"/>
    </row>
    <row r="378" spans="1:16" s="111" customFormat="1" ht="30" customHeight="1" thickBot="1">
      <c r="A378" s="668" t="s">
        <v>20</v>
      </c>
      <c r="B378" s="669"/>
      <c r="C378" s="669"/>
      <c r="D378" s="669"/>
      <c r="E378" s="669"/>
      <c r="F378" s="669"/>
      <c r="G378" s="670"/>
      <c r="H378" s="146">
        <f t="shared" ref="H378:O378" si="31">SUM(H376:H377)</f>
        <v>14825000</v>
      </c>
      <c r="I378" s="146">
        <f t="shared" si="31"/>
        <v>58379</v>
      </c>
      <c r="J378" s="146">
        <f t="shared" si="31"/>
        <v>14825000</v>
      </c>
      <c r="K378" s="146">
        <f t="shared" si="31"/>
        <v>0</v>
      </c>
      <c r="L378" s="146">
        <f t="shared" si="31"/>
        <v>2900000</v>
      </c>
      <c r="M378" s="146">
        <f t="shared" si="31"/>
        <v>5350000</v>
      </c>
      <c r="N378" s="146">
        <f t="shared" si="31"/>
        <v>5400000</v>
      </c>
      <c r="O378" s="146">
        <f t="shared" si="31"/>
        <v>1675000</v>
      </c>
      <c r="P378" s="118"/>
    </row>
    <row r="379" spans="1:16" ht="15.75" thickBot="1">
      <c r="A379" s="671"/>
      <c r="B379" s="672"/>
      <c r="C379" s="672"/>
      <c r="D379" s="672"/>
      <c r="E379" s="672"/>
      <c r="F379" s="672"/>
      <c r="G379" s="672"/>
      <c r="H379" s="672"/>
      <c r="I379" s="672"/>
      <c r="J379" s="672"/>
      <c r="K379" s="672"/>
      <c r="L379" s="672"/>
      <c r="M379" s="672"/>
      <c r="N379" s="672"/>
      <c r="O379" s="672"/>
      <c r="P379" s="673"/>
    </row>
    <row r="380" spans="1:16" ht="30" customHeight="1" thickBot="1">
      <c r="A380" s="652" t="s">
        <v>52</v>
      </c>
      <c r="B380" s="653"/>
      <c r="C380" s="653"/>
      <c r="D380" s="653"/>
      <c r="E380" s="653"/>
      <c r="F380" s="653"/>
      <c r="G380" s="653"/>
      <c r="H380" s="653"/>
      <c r="I380" s="653"/>
      <c r="J380" s="653"/>
      <c r="K380" s="653"/>
      <c r="L380" s="653"/>
      <c r="M380" s="653"/>
      <c r="N380" s="653"/>
      <c r="O380" s="653"/>
      <c r="P380" s="654"/>
    </row>
    <row r="381" spans="1:16" s="31" customFormat="1" ht="15.75">
      <c r="A381" s="171">
        <v>1</v>
      </c>
      <c r="B381" s="200" t="s">
        <v>36</v>
      </c>
      <c r="C381" s="261" t="s">
        <v>802</v>
      </c>
      <c r="D381" s="262" t="s">
        <v>803</v>
      </c>
      <c r="E381" s="262" t="s">
        <v>804</v>
      </c>
      <c r="F381" s="262">
        <v>2014</v>
      </c>
      <c r="G381" s="262">
        <v>2021</v>
      </c>
      <c r="H381" s="159">
        <v>18393200</v>
      </c>
      <c r="I381" s="159">
        <v>11415133</v>
      </c>
      <c r="J381" s="159">
        <v>6978067</v>
      </c>
      <c r="K381" s="159"/>
      <c r="L381" s="159">
        <v>1744516.75</v>
      </c>
      <c r="M381" s="159">
        <v>1744516.75</v>
      </c>
      <c r="N381" s="159">
        <v>1744516.75</v>
      </c>
      <c r="O381" s="159">
        <v>1744516.75</v>
      </c>
      <c r="P381" s="263" t="s">
        <v>988</v>
      </c>
    </row>
    <row r="382" spans="1:16" s="31" customFormat="1" ht="15.75">
      <c r="A382" s="171">
        <v>2</v>
      </c>
      <c r="B382" s="200" t="s">
        <v>36</v>
      </c>
      <c r="C382" s="264" t="s">
        <v>805</v>
      </c>
      <c r="D382" s="265" t="s">
        <v>806</v>
      </c>
      <c r="E382" s="265" t="s">
        <v>807</v>
      </c>
      <c r="F382" s="265">
        <v>2018</v>
      </c>
      <c r="G382" s="265">
        <v>2021</v>
      </c>
      <c r="H382" s="176">
        <v>5260175</v>
      </c>
      <c r="I382" s="176">
        <v>3095254</v>
      </c>
      <c r="J382" s="176">
        <v>2164921</v>
      </c>
      <c r="K382" s="176"/>
      <c r="L382" s="159">
        <v>541230.25</v>
      </c>
      <c r="M382" s="159">
        <v>541230.25</v>
      </c>
      <c r="N382" s="159">
        <v>541230.25</v>
      </c>
      <c r="O382" s="159">
        <v>541230.25</v>
      </c>
      <c r="P382" s="140" t="s">
        <v>988</v>
      </c>
    </row>
    <row r="383" spans="1:16" s="31" customFormat="1" ht="15.75">
      <c r="A383" s="171">
        <v>3</v>
      </c>
      <c r="B383" s="200" t="s">
        <v>36</v>
      </c>
      <c r="C383" s="264" t="s">
        <v>808</v>
      </c>
      <c r="D383" s="265" t="s">
        <v>809</v>
      </c>
      <c r="E383" s="265" t="s">
        <v>810</v>
      </c>
      <c r="F383" s="265">
        <v>2018</v>
      </c>
      <c r="G383" s="265">
        <v>2022</v>
      </c>
      <c r="H383" s="176">
        <v>10389000</v>
      </c>
      <c r="I383" s="176"/>
      <c r="J383" s="176">
        <v>2077800</v>
      </c>
      <c r="K383" s="176"/>
      <c r="L383" s="159">
        <v>519450</v>
      </c>
      <c r="M383" s="159">
        <v>519450</v>
      </c>
      <c r="N383" s="159">
        <v>519450</v>
      </c>
      <c r="O383" s="159">
        <v>519450</v>
      </c>
      <c r="P383" s="140" t="s">
        <v>714</v>
      </c>
    </row>
    <row r="384" spans="1:16" s="31" customFormat="1" ht="283.5">
      <c r="A384" s="171">
        <v>4</v>
      </c>
      <c r="B384" s="200" t="s">
        <v>36</v>
      </c>
      <c r="C384" s="264" t="s">
        <v>811</v>
      </c>
      <c r="D384" s="265" t="s">
        <v>30</v>
      </c>
      <c r="E384" s="265" t="s">
        <v>812</v>
      </c>
      <c r="F384" s="265">
        <v>2014</v>
      </c>
      <c r="G384" s="265">
        <v>2022</v>
      </c>
      <c r="H384" s="176">
        <v>8373000</v>
      </c>
      <c r="I384" s="176"/>
      <c r="J384" s="176">
        <v>1674600</v>
      </c>
      <c r="K384" s="176"/>
      <c r="L384" s="159">
        <v>418650</v>
      </c>
      <c r="M384" s="159">
        <v>418650</v>
      </c>
      <c r="N384" s="159">
        <v>418650</v>
      </c>
      <c r="O384" s="159">
        <v>418650</v>
      </c>
      <c r="P384" s="140" t="s">
        <v>989</v>
      </c>
    </row>
    <row r="385" spans="1:16" s="31" customFormat="1" ht="31.5">
      <c r="A385" s="171">
        <v>5</v>
      </c>
      <c r="B385" s="200" t="s">
        <v>36</v>
      </c>
      <c r="C385" s="264" t="s">
        <v>813</v>
      </c>
      <c r="D385" s="265" t="s">
        <v>814</v>
      </c>
      <c r="E385" s="265" t="s">
        <v>815</v>
      </c>
      <c r="F385" s="265">
        <v>2018</v>
      </c>
      <c r="G385" s="265">
        <v>2022</v>
      </c>
      <c r="H385" s="176">
        <v>10389000</v>
      </c>
      <c r="I385" s="176"/>
      <c r="J385" s="176">
        <v>2077800</v>
      </c>
      <c r="K385" s="176"/>
      <c r="L385" s="159">
        <v>519450</v>
      </c>
      <c r="M385" s="159">
        <v>519450</v>
      </c>
      <c r="N385" s="159">
        <v>519450</v>
      </c>
      <c r="O385" s="159">
        <v>519450</v>
      </c>
      <c r="P385" s="140" t="s">
        <v>990</v>
      </c>
    </row>
    <row r="386" spans="1:16" s="31" customFormat="1" ht="94.5">
      <c r="A386" s="171">
        <v>6</v>
      </c>
      <c r="B386" s="200" t="s">
        <v>36</v>
      </c>
      <c r="C386" s="264" t="s">
        <v>816</v>
      </c>
      <c r="D386" s="265" t="s">
        <v>51</v>
      </c>
      <c r="E386" s="265" t="s">
        <v>817</v>
      </c>
      <c r="F386" s="265">
        <v>2018</v>
      </c>
      <c r="G386" s="265">
        <v>2022</v>
      </c>
      <c r="H386" s="176">
        <v>13827000</v>
      </c>
      <c r="I386" s="176"/>
      <c r="J386" s="176">
        <v>3166312</v>
      </c>
      <c r="K386" s="176"/>
      <c r="L386" s="159">
        <v>791578</v>
      </c>
      <c r="M386" s="159">
        <v>791578</v>
      </c>
      <c r="N386" s="159">
        <v>791578</v>
      </c>
      <c r="O386" s="159">
        <v>791578</v>
      </c>
      <c r="P386" s="266" t="s">
        <v>991</v>
      </c>
    </row>
    <row r="387" spans="1:16" s="31" customFormat="1" ht="31.5">
      <c r="A387" s="171">
        <v>7</v>
      </c>
      <c r="B387" s="200" t="s">
        <v>36</v>
      </c>
      <c r="C387" s="264" t="s">
        <v>818</v>
      </c>
      <c r="D387" s="265" t="s">
        <v>819</v>
      </c>
      <c r="E387" s="265" t="s">
        <v>817</v>
      </c>
      <c r="F387" s="265">
        <v>2018</v>
      </c>
      <c r="G387" s="265">
        <v>2022</v>
      </c>
      <c r="H387" s="176">
        <v>13827000</v>
      </c>
      <c r="I387" s="176"/>
      <c r="J387" s="176">
        <v>3456750</v>
      </c>
      <c r="K387" s="176"/>
      <c r="L387" s="159">
        <v>864187.5</v>
      </c>
      <c r="M387" s="159">
        <v>864187.5</v>
      </c>
      <c r="N387" s="159">
        <v>864187.5</v>
      </c>
      <c r="O387" s="159">
        <v>864187.5</v>
      </c>
      <c r="P387" s="140" t="s">
        <v>714</v>
      </c>
    </row>
    <row r="388" spans="1:16" s="31" customFormat="1" ht="15.75">
      <c r="A388" s="171">
        <v>8</v>
      </c>
      <c r="B388" s="200" t="s">
        <v>36</v>
      </c>
      <c r="C388" s="264" t="s">
        <v>820</v>
      </c>
      <c r="D388" s="265" t="s">
        <v>821</v>
      </c>
      <c r="E388" s="265" t="s">
        <v>817</v>
      </c>
      <c r="F388" s="265">
        <v>2018</v>
      </c>
      <c r="G388" s="265">
        <v>2022</v>
      </c>
      <c r="H388" s="176">
        <v>13827000</v>
      </c>
      <c r="I388" s="176">
        <v>46312</v>
      </c>
      <c r="J388" s="176">
        <v>3456750</v>
      </c>
      <c r="K388" s="176"/>
      <c r="L388" s="159">
        <v>864187.5</v>
      </c>
      <c r="M388" s="159">
        <v>864187.5</v>
      </c>
      <c r="N388" s="159">
        <v>864187.5</v>
      </c>
      <c r="O388" s="159">
        <v>864187.5</v>
      </c>
      <c r="P388" s="140" t="s">
        <v>714</v>
      </c>
    </row>
    <row r="389" spans="1:16" s="31" customFormat="1" ht="15.75">
      <c r="A389" s="171">
        <v>9</v>
      </c>
      <c r="B389" s="200" t="s">
        <v>36</v>
      </c>
      <c r="C389" s="264" t="s">
        <v>822</v>
      </c>
      <c r="D389" s="265" t="s">
        <v>823</v>
      </c>
      <c r="E389" s="265" t="s">
        <v>824</v>
      </c>
      <c r="F389" s="265">
        <v>2018</v>
      </c>
      <c r="G389" s="265">
        <v>2022</v>
      </c>
      <c r="H389" s="176">
        <v>10473000</v>
      </c>
      <c r="I389" s="176"/>
      <c r="J389" s="176">
        <v>2618250</v>
      </c>
      <c r="K389" s="176"/>
      <c r="L389" s="159">
        <v>654562.5</v>
      </c>
      <c r="M389" s="159">
        <v>654562.5</v>
      </c>
      <c r="N389" s="159">
        <v>654562.5</v>
      </c>
      <c r="O389" s="159">
        <v>654562.5</v>
      </c>
      <c r="P389" s="140" t="s">
        <v>714</v>
      </c>
    </row>
    <row r="390" spans="1:16" s="31" customFormat="1" ht="15.75">
      <c r="A390" s="171">
        <v>10</v>
      </c>
      <c r="B390" s="200" t="s">
        <v>36</v>
      </c>
      <c r="C390" s="264" t="s">
        <v>825</v>
      </c>
      <c r="D390" s="265" t="s">
        <v>826</v>
      </c>
      <c r="E390" s="265" t="s">
        <v>824</v>
      </c>
      <c r="F390" s="265">
        <v>2018</v>
      </c>
      <c r="G390" s="265">
        <v>2022</v>
      </c>
      <c r="H390" s="176">
        <v>11268000</v>
      </c>
      <c r="I390" s="176">
        <v>34574</v>
      </c>
      <c r="J390" s="176">
        <v>2817000</v>
      </c>
      <c r="K390" s="176"/>
      <c r="L390" s="159">
        <v>704250</v>
      </c>
      <c r="M390" s="159">
        <v>704250</v>
      </c>
      <c r="N390" s="159">
        <v>704250</v>
      </c>
      <c r="O390" s="159">
        <v>704250</v>
      </c>
      <c r="P390" s="140" t="s">
        <v>714</v>
      </c>
    </row>
    <row r="391" spans="1:16" s="31" customFormat="1" ht="78.75">
      <c r="A391" s="171">
        <v>11</v>
      </c>
      <c r="B391" s="200" t="s">
        <v>36</v>
      </c>
      <c r="C391" s="264" t="s">
        <v>827</v>
      </c>
      <c r="D391" s="265" t="s">
        <v>51</v>
      </c>
      <c r="E391" s="265" t="s">
        <v>828</v>
      </c>
      <c r="F391" s="265">
        <v>2018</v>
      </c>
      <c r="G391" s="265">
        <v>2022</v>
      </c>
      <c r="H391" s="176">
        <v>13827000</v>
      </c>
      <c r="I391" s="176"/>
      <c r="J391" s="176">
        <v>3456750</v>
      </c>
      <c r="K391" s="176"/>
      <c r="L391" s="159">
        <v>864187.5</v>
      </c>
      <c r="M391" s="159">
        <v>864187.5</v>
      </c>
      <c r="N391" s="159">
        <v>864187.5</v>
      </c>
      <c r="O391" s="159">
        <v>864187.5</v>
      </c>
      <c r="P391" s="140" t="s">
        <v>992</v>
      </c>
    </row>
    <row r="392" spans="1:16" s="31" customFormat="1" ht="236.25">
      <c r="A392" s="171">
        <v>12</v>
      </c>
      <c r="B392" s="200" t="s">
        <v>36</v>
      </c>
      <c r="C392" s="264" t="s">
        <v>829</v>
      </c>
      <c r="D392" s="265" t="s">
        <v>830</v>
      </c>
      <c r="E392" s="265" t="s">
        <v>824</v>
      </c>
      <c r="F392" s="265">
        <v>2018</v>
      </c>
      <c r="G392" s="265">
        <v>2022</v>
      </c>
      <c r="H392" s="176">
        <v>11268000</v>
      </c>
      <c r="I392" s="176"/>
      <c r="J392" s="176">
        <v>2817000</v>
      </c>
      <c r="K392" s="176"/>
      <c r="L392" s="159">
        <v>704250</v>
      </c>
      <c r="M392" s="159">
        <v>704250</v>
      </c>
      <c r="N392" s="159">
        <v>704250</v>
      </c>
      <c r="O392" s="159">
        <v>704250</v>
      </c>
      <c r="P392" s="140" t="s">
        <v>993</v>
      </c>
    </row>
    <row r="393" spans="1:16" s="31" customFormat="1" ht="15.75">
      <c r="A393" s="171">
        <v>13</v>
      </c>
      <c r="B393" s="200" t="s">
        <v>36</v>
      </c>
      <c r="C393" s="264" t="s">
        <v>831</v>
      </c>
      <c r="D393" s="265" t="s">
        <v>832</v>
      </c>
      <c r="E393" s="265" t="s">
        <v>810</v>
      </c>
      <c r="F393" s="265">
        <v>2018</v>
      </c>
      <c r="G393" s="265">
        <v>2022</v>
      </c>
      <c r="H393" s="176">
        <v>10389000</v>
      </c>
      <c r="I393" s="176">
        <v>6800</v>
      </c>
      <c r="J393" s="176">
        <v>2597250</v>
      </c>
      <c r="K393" s="176"/>
      <c r="L393" s="159">
        <v>649312.5</v>
      </c>
      <c r="M393" s="159">
        <v>649312.5</v>
      </c>
      <c r="N393" s="159">
        <v>649312.5</v>
      </c>
      <c r="O393" s="159">
        <v>649312.5</v>
      </c>
      <c r="P393" s="140" t="s">
        <v>714</v>
      </c>
    </row>
    <row r="394" spans="1:16" s="31" customFormat="1" ht="15.75">
      <c r="A394" s="171">
        <v>14</v>
      </c>
      <c r="B394" s="200" t="s">
        <v>36</v>
      </c>
      <c r="C394" s="264" t="s">
        <v>833</v>
      </c>
      <c r="D394" s="265" t="s">
        <v>834</v>
      </c>
      <c r="E394" s="265" t="s">
        <v>824</v>
      </c>
      <c r="F394" s="265">
        <v>2018</v>
      </c>
      <c r="G394" s="265">
        <v>2022</v>
      </c>
      <c r="H394" s="176">
        <v>11268000</v>
      </c>
      <c r="I394" s="176"/>
      <c r="J394" s="176">
        <v>2817000</v>
      </c>
      <c r="K394" s="176"/>
      <c r="L394" s="159">
        <v>704250</v>
      </c>
      <c r="M394" s="159">
        <v>704250</v>
      </c>
      <c r="N394" s="159">
        <v>704250</v>
      </c>
      <c r="O394" s="159">
        <v>704250</v>
      </c>
      <c r="P394" s="140" t="s">
        <v>714</v>
      </c>
    </row>
    <row r="395" spans="1:16" s="31" customFormat="1" ht="94.5">
      <c r="A395" s="171">
        <v>15</v>
      </c>
      <c r="B395" s="200" t="s">
        <v>36</v>
      </c>
      <c r="C395" s="264" t="s">
        <v>835</v>
      </c>
      <c r="D395" s="265" t="s">
        <v>836</v>
      </c>
      <c r="E395" s="265" t="s">
        <v>817</v>
      </c>
      <c r="F395" s="265">
        <v>2018</v>
      </c>
      <c r="G395" s="265">
        <v>2022</v>
      </c>
      <c r="H395" s="176">
        <v>13827000</v>
      </c>
      <c r="I395" s="176"/>
      <c r="J395" s="176">
        <v>3456750</v>
      </c>
      <c r="K395" s="176"/>
      <c r="L395" s="159">
        <v>864187.5</v>
      </c>
      <c r="M395" s="159">
        <v>864187.5</v>
      </c>
      <c r="N395" s="159">
        <v>864187.5</v>
      </c>
      <c r="O395" s="159">
        <v>864187.5</v>
      </c>
      <c r="P395" s="267" t="s">
        <v>994</v>
      </c>
    </row>
    <row r="396" spans="1:16" s="31" customFormat="1" ht="94.5">
      <c r="A396" s="171">
        <v>16</v>
      </c>
      <c r="B396" s="200" t="s">
        <v>36</v>
      </c>
      <c r="C396" s="264" t="s">
        <v>837</v>
      </c>
      <c r="D396" s="265" t="s">
        <v>838</v>
      </c>
      <c r="E396" s="265" t="s">
        <v>839</v>
      </c>
      <c r="F396" s="265">
        <v>2018</v>
      </c>
      <c r="G396" s="265">
        <v>2022</v>
      </c>
      <c r="H396" s="176">
        <v>15420000</v>
      </c>
      <c r="I396" s="176"/>
      <c r="J396" s="176">
        <v>3855000</v>
      </c>
      <c r="K396" s="176"/>
      <c r="L396" s="159">
        <v>963750</v>
      </c>
      <c r="M396" s="159">
        <v>963750</v>
      </c>
      <c r="N396" s="159">
        <v>963750</v>
      </c>
      <c r="O396" s="159">
        <v>963750</v>
      </c>
      <c r="P396" s="140" t="s">
        <v>995</v>
      </c>
    </row>
    <row r="397" spans="1:16" s="31" customFormat="1" ht="141.75">
      <c r="A397" s="171">
        <v>17</v>
      </c>
      <c r="B397" s="200" t="s">
        <v>36</v>
      </c>
      <c r="C397" s="264" t="s">
        <v>840</v>
      </c>
      <c r="D397" s="265" t="s">
        <v>838</v>
      </c>
      <c r="E397" s="265" t="s">
        <v>810</v>
      </c>
      <c r="F397" s="265">
        <v>2018</v>
      </c>
      <c r="G397" s="265">
        <v>2022</v>
      </c>
      <c r="H397" s="176">
        <v>10389000</v>
      </c>
      <c r="I397" s="176"/>
      <c r="J397" s="176">
        <v>2597250</v>
      </c>
      <c r="K397" s="176"/>
      <c r="L397" s="159">
        <v>649312.5</v>
      </c>
      <c r="M397" s="159">
        <v>649312.5</v>
      </c>
      <c r="N397" s="159">
        <v>649312.5</v>
      </c>
      <c r="O397" s="159">
        <v>649312.5</v>
      </c>
      <c r="P397" s="140" t="s">
        <v>996</v>
      </c>
    </row>
    <row r="398" spans="1:16" s="31" customFormat="1" ht="31.5">
      <c r="A398" s="171">
        <v>18</v>
      </c>
      <c r="B398" s="200" t="s">
        <v>36</v>
      </c>
      <c r="C398" s="267" t="s">
        <v>841</v>
      </c>
      <c r="D398" s="265" t="s">
        <v>842</v>
      </c>
      <c r="E398" s="265" t="s">
        <v>810</v>
      </c>
      <c r="F398" s="265">
        <v>2018</v>
      </c>
      <c r="G398" s="265">
        <v>2022</v>
      </c>
      <c r="H398" s="176">
        <v>10389000</v>
      </c>
      <c r="I398" s="176">
        <v>38645</v>
      </c>
      <c r="J398" s="176">
        <v>2597250</v>
      </c>
      <c r="K398" s="176"/>
      <c r="L398" s="159">
        <v>649312.5</v>
      </c>
      <c r="M398" s="159">
        <v>649312.5</v>
      </c>
      <c r="N398" s="159">
        <v>649312.5</v>
      </c>
      <c r="O398" s="159">
        <v>649312.5</v>
      </c>
      <c r="P398" s="140" t="s">
        <v>714</v>
      </c>
    </row>
    <row r="399" spans="1:16" s="31" customFormat="1" ht="15.75">
      <c r="A399" s="171">
        <v>19</v>
      </c>
      <c r="B399" s="200" t="s">
        <v>36</v>
      </c>
      <c r="C399" s="267" t="s">
        <v>843</v>
      </c>
      <c r="D399" s="265" t="s">
        <v>51</v>
      </c>
      <c r="E399" s="265" t="s">
        <v>828</v>
      </c>
      <c r="F399" s="265">
        <v>2018</v>
      </c>
      <c r="G399" s="265">
        <v>2022</v>
      </c>
      <c r="H399" s="176">
        <v>18618000</v>
      </c>
      <c r="I399" s="176"/>
      <c r="J399" s="176">
        <v>4654500</v>
      </c>
      <c r="K399" s="176"/>
      <c r="L399" s="159">
        <v>1163625</v>
      </c>
      <c r="M399" s="159">
        <v>1163625</v>
      </c>
      <c r="N399" s="159">
        <v>1163625</v>
      </c>
      <c r="O399" s="159">
        <v>1163625</v>
      </c>
      <c r="P399" s="140" t="s">
        <v>714</v>
      </c>
    </row>
    <row r="400" spans="1:16" s="31" customFormat="1" ht="236.25">
      <c r="A400" s="171">
        <v>20</v>
      </c>
      <c r="B400" s="200" t="s">
        <v>36</v>
      </c>
      <c r="C400" s="267" t="s">
        <v>844</v>
      </c>
      <c r="D400" s="265" t="s">
        <v>803</v>
      </c>
      <c r="E400" s="265" t="s">
        <v>810</v>
      </c>
      <c r="F400" s="265">
        <v>2019</v>
      </c>
      <c r="G400" s="265">
        <v>2022</v>
      </c>
      <c r="H400" s="176">
        <v>15420000</v>
      </c>
      <c r="I400" s="176"/>
      <c r="J400" s="176">
        <v>3855000</v>
      </c>
      <c r="K400" s="176"/>
      <c r="L400" s="159">
        <v>963750</v>
      </c>
      <c r="M400" s="159">
        <v>963750</v>
      </c>
      <c r="N400" s="159">
        <v>963750</v>
      </c>
      <c r="O400" s="159">
        <v>963750</v>
      </c>
      <c r="P400" s="140" t="s">
        <v>997</v>
      </c>
    </row>
    <row r="401" spans="1:16" s="31" customFormat="1" ht="110.25">
      <c r="A401" s="171">
        <v>21</v>
      </c>
      <c r="B401" s="200" t="s">
        <v>36</v>
      </c>
      <c r="C401" s="267" t="s">
        <v>845</v>
      </c>
      <c r="D401" s="265" t="s">
        <v>823</v>
      </c>
      <c r="E401" s="265" t="s">
        <v>839</v>
      </c>
      <c r="F401" s="265">
        <v>2019</v>
      </c>
      <c r="G401" s="265">
        <v>2022</v>
      </c>
      <c r="H401" s="176">
        <v>15420000</v>
      </c>
      <c r="I401" s="176"/>
      <c r="J401" s="176">
        <v>3855000</v>
      </c>
      <c r="K401" s="176"/>
      <c r="L401" s="159">
        <v>963750</v>
      </c>
      <c r="M401" s="159">
        <v>963750</v>
      </c>
      <c r="N401" s="159">
        <v>963750</v>
      </c>
      <c r="O401" s="159">
        <v>963750</v>
      </c>
      <c r="P401" s="140" t="s">
        <v>998</v>
      </c>
    </row>
    <row r="402" spans="1:16" s="31" customFormat="1" ht="126">
      <c r="A402" s="171">
        <v>22</v>
      </c>
      <c r="B402" s="200" t="s">
        <v>36</v>
      </c>
      <c r="C402" s="267" t="s">
        <v>846</v>
      </c>
      <c r="D402" s="265" t="s">
        <v>821</v>
      </c>
      <c r="E402" s="265" t="s">
        <v>810</v>
      </c>
      <c r="F402" s="265">
        <v>2019</v>
      </c>
      <c r="G402" s="265">
        <v>2022</v>
      </c>
      <c r="H402" s="176">
        <v>10389000</v>
      </c>
      <c r="I402" s="176"/>
      <c r="J402" s="176">
        <v>2597250</v>
      </c>
      <c r="K402" s="176"/>
      <c r="L402" s="159">
        <v>649312.5</v>
      </c>
      <c r="M402" s="159">
        <v>649312.5</v>
      </c>
      <c r="N402" s="159">
        <v>649312.5</v>
      </c>
      <c r="O402" s="159">
        <v>649312.5</v>
      </c>
      <c r="P402" s="140" t="s">
        <v>999</v>
      </c>
    </row>
    <row r="403" spans="1:16" s="31" customFormat="1" ht="15.75">
      <c r="A403" s="171">
        <v>23</v>
      </c>
      <c r="B403" s="200" t="s">
        <v>36</v>
      </c>
      <c r="C403" s="267" t="s">
        <v>847</v>
      </c>
      <c r="D403" s="265" t="s">
        <v>826</v>
      </c>
      <c r="E403" s="265" t="s">
        <v>839</v>
      </c>
      <c r="F403" s="265">
        <v>2018</v>
      </c>
      <c r="G403" s="265">
        <v>2022</v>
      </c>
      <c r="H403" s="176">
        <v>15420000</v>
      </c>
      <c r="I403" s="176">
        <v>27494</v>
      </c>
      <c r="J403" s="176">
        <v>3855000</v>
      </c>
      <c r="K403" s="176"/>
      <c r="L403" s="159">
        <v>963750</v>
      </c>
      <c r="M403" s="159">
        <v>963750</v>
      </c>
      <c r="N403" s="159">
        <v>963750</v>
      </c>
      <c r="O403" s="159">
        <v>963750</v>
      </c>
      <c r="P403" s="140" t="s">
        <v>714</v>
      </c>
    </row>
    <row r="404" spans="1:16" s="31" customFormat="1" ht="15.75">
      <c r="A404" s="171">
        <v>24</v>
      </c>
      <c r="B404" s="200" t="s">
        <v>36</v>
      </c>
      <c r="C404" s="267" t="s">
        <v>848</v>
      </c>
      <c r="D404" s="265" t="s">
        <v>834</v>
      </c>
      <c r="E404" s="265" t="s">
        <v>817</v>
      </c>
      <c r="F404" s="265">
        <v>2018</v>
      </c>
      <c r="G404" s="265">
        <v>2022</v>
      </c>
      <c r="H404" s="176">
        <v>13827000</v>
      </c>
      <c r="I404" s="176">
        <v>26875</v>
      </c>
      <c r="J404" s="176">
        <v>3456750</v>
      </c>
      <c r="K404" s="176"/>
      <c r="L404" s="159">
        <v>864187.5</v>
      </c>
      <c r="M404" s="159">
        <v>864187.5</v>
      </c>
      <c r="N404" s="159">
        <v>864187.5</v>
      </c>
      <c r="O404" s="159">
        <v>864187.5</v>
      </c>
      <c r="P404" s="140" t="s">
        <v>714</v>
      </c>
    </row>
    <row r="405" spans="1:16" s="31" customFormat="1" ht="409.5">
      <c r="A405" s="171">
        <v>25</v>
      </c>
      <c r="B405" s="200" t="s">
        <v>36</v>
      </c>
      <c r="C405" s="267" t="s">
        <v>849</v>
      </c>
      <c r="D405" s="265" t="s">
        <v>834</v>
      </c>
      <c r="E405" s="265" t="s">
        <v>839</v>
      </c>
      <c r="F405" s="265">
        <v>2018</v>
      </c>
      <c r="G405" s="265">
        <v>2022</v>
      </c>
      <c r="H405" s="176">
        <v>10389000</v>
      </c>
      <c r="I405" s="176"/>
      <c r="J405" s="176">
        <v>2597250</v>
      </c>
      <c r="K405" s="176"/>
      <c r="L405" s="159">
        <v>649312.5</v>
      </c>
      <c r="M405" s="159">
        <v>649312.5</v>
      </c>
      <c r="N405" s="159">
        <v>649312.5</v>
      </c>
      <c r="O405" s="159">
        <v>649312.5</v>
      </c>
      <c r="P405" s="140" t="s">
        <v>1000</v>
      </c>
    </row>
    <row r="406" spans="1:16" s="31" customFormat="1" ht="141.75">
      <c r="A406" s="171">
        <v>26</v>
      </c>
      <c r="B406" s="200" t="s">
        <v>36</v>
      </c>
      <c r="C406" s="267" t="s">
        <v>850</v>
      </c>
      <c r="D406" s="265" t="s">
        <v>851</v>
      </c>
      <c r="E406" s="265" t="s">
        <v>810</v>
      </c>
      <c r="F406" s="265">
        <v>2018</v>
      </c>
      <c r="G406" s="265">
        <v>2022</v>
      </c>
      <c r="H406" s="176">
        <v>10389000</v>
      </c>
      <c r="I406" s="176"/>
      <c r="J406" s="176">
        <v>2597250</v>
      </c>
      <c r="K406" s="176"/>
      <c r="L406" s="159">
        <v>649312.5</v>
      </c>
      <c r="M406" s="159">
        <v>649312.5</v>
      </c>
      <c r="N406" s="159">
        <v>649312.5</v>
      </c>
      <c r="O406" s="159">
        <v>649312.5</v>
      </c>
      <c r="P406" s="140" t="s">
        <v>1001</v>
      </c>
    </row>
    <row r="407" spans="1:16" s="31" customFormat="1" ht="126">
      <c r="A407" s="171">
        <v>27</v>
      </c>
      <c r="B407" s="200" t="s">
        <v>36</v>
      </c>
      <c r="C407" s="267" t="s">
        <v>852</v>
      </c>
      <c r="D407" s="265" t="s">
        <v>853</v>
      </c>
      <c r="E407" s="265" t="s">
        <v>839</v>
      </c>
      <c r="F407" s="265">
        <v>2018</v>
      </c>
      <c r="G407" s="265">
        <v>2022</v>
      </c>
      <c r="H407" s="176">
        <v>10389000</v>
      </c>
      <c r="I407" s="176"/>
      <c r="J407" s="176">
        <v>2597250</v>
      </c>
      <c r="K407" s="176"/>
      <c r="L407" s="159">
        <v>649312.5</v>
      </c>
      <c r="M407" s="159">
        <v>649312.5</v>
      </c>
      <c r="N407" s="159">
        <v>649312.5</v>
      </c>
      <c r="O407" s="159">
        <v>649312.5</v>
      </c>
      <c r="P407" s="140" t="s">
        <v>1002</v>
      </c>
    </row>
    <row r="408" spans="1:16" s="31" customFormat="1" ht="110.25">
      <c r="A408" s="171">
        <v>28</v>
      </c>
      <c r="B408" s="200" t="s">
        <v>36</v>
      </c>
      <c r="C408" s="267" t="s">
        <v>854</v>
      </c>
      <c r="D408" s="265" t="s">
        <v>851</v>
      </c>
      <c r="E408" s="265" t="s">
        <v>810</v>
      </c>
      <c r="F408" s="265">
        <v>2019</v>
      </c>
      <c r="G408" s="265">
        <v>2022</v>
      </c>
      <c r="H408" s="176">
        <v>10389000</v>
      </c>
      <c r="I408" s="176"/>
      <c r="J408" s="176">
        <v>2597250</v>
      </c>
      <c r="K408" s="176"/>
      <c r="L408" s="159">
        <v>649312.5</v>
      </c>
      <c r="M408" s="159">
        <v>649312.5</v>
      </c>
      <c r="N408" s="159">
        <v>649312.5</v>
      </c>
      <c r="O408" s="159">
        <v>649312.5</v>
      </c>
      <c r="P408" s="140" t="s">
        <v>1003</v>
      </c>
    </row>
    <row r="409" spans="1:16" s="31" customFormat="1" ht="126">
      <c r="A409" s="171">
        <v>29</v>
      </c>
      <c r="B409" s="200" t="s">
        <v>36</v>
      </c>
      <c r="C409" s="267" t="s">
        <v>855</v>
      </c>
      <c r="D409" s="265" t="s">
        <v>851</v>
      </c>
      <c r="E409" s="265" t="s">
        <v>810</v>
      </c>
      <c r="F409" s="265">
        <v>2019</v>
      </c>
      <c r="G409" s="265">
        <v>2022</v>
      </c>
      <c r="H409" s="176">
        <v>10389000</v>
      </c>
      <c r="I409" s="176"/>
      <c r="J409" s="176">
        <v>2597250</v>
      </c>
      <c r="K409" s="176"/>
      <c r="L409" s="159">
        <v>649312.5</v>
      </c>
      <c r="M409" s="159">
        <v>649312.5</v>
      </c>
      <c r="N409" s="159">
        <v>649312.5</v>
      </c>
      <c r="O409" s="159">
        <v>649312.5</v>
      </c>
      <c r="P409" s="140" t="s">
        <v>1004</v>
      </c>
    </row>
    <row r="410" spans="1:16" s="31" customFormat="1" ht="126">
      <c r="A410" s="171">
        <v>30</v>
      </c>
      <c r="B410" s="200" t="s">
        <v>36</v>
      </c>
      <c r="C410" s="267" t="s">
        <v>856</v>
      </c>
      <c r="D410" s="265" t="s">
        <v>836</v>
      </c>
      <c r="E410" s="265" t="s">
        <v>839</v>
      </c>
      <c r="F410" s="265">
        <v>2018</v>
      </c>
      <c r="G410" s="265">
        <v>2022</v>
      </c>
      <c r="H410" s="176">
        <v>15420000</v>
      </c>
      <c r="I410" s="176"/>
      <c r="J410" s="176">
        <v>3855000</v>
      </c>
      <c r="K410" s="176"/>
      <c r="L410" s="159">
        <v>963750</v>
      </c>
      <c r="M410" s="159">
        <v>963750</v>
      </c>
      <c r="N410" s="159">
        <v>963750</v>
      </c>
      <c r="O410" s="159">
        <v>963750</v>
      </c>
      <c r="P410" s="140" t="s">
        <v>1005</v>
      </c>
    </row>
    <row r="411" spans="1:16" s="31" customFormat="1" ht="31.5">
      <c r="A411" s="171">
        <v>31</v>
      </c>
      <c r="B411" s="200" t="s">
        <v>36</v>
      </c>
      <c r="C411" s="267" t="s">
        <v>857</v>
      </c>
      <c r="D411" s="265" t="s">
        <v>22</v>
      </c>
      <c r="E411" s="265" t="s">
        <v>858</v>
      </c>
      <c r="F411" s="265">
        <v>2020</v>
      </c>
      <c r="G411" s="265">
        <v>2022</v>
      </c>
      <c r="H411" s="176">
        <v>4273500</v>
      </c>
      <c r="I411" s="176"/>
      <c r="J411" s="176">
        <v>1709400</v>
      </c>
      <c r="K411" s="176"/>
      <c r="L411" s="159">
        <v>427350</v>
      </c>
      <c r="M411" s="159">
        <v>427350</v>
      </c>
      <c r="N411" s="159">
        <v>427350</v>
      </c>
      <c r="O411" s="159">
        <v>427350</v>
      </c>
      <c r="P411" s="140" t="s">
        <v>1006</v>
      </c>
    </row>
    <row r="412" spans="1:16" s="31" customFormat="1" ht="78.75">
      <c r="A412" s="171">
        <v>32</v>
      </c>
      <c r="B412" s="200" t="s">
        <v>36</v>
      </c>
      <c r="C412" s="267" t="s">
        <v>859</v>
      </c>
      <c r="D412" s="265" t="s">
        <v>48</v>
      </c>
      <c r="E412" s="265" t="s">
        <v>860</v>
      </c>
      <c r="F412" s="265">
        <v>2020</v>
      </c>
      <c r="G412" s="265">
        <v>2022</v>
      </c>
      <c r="H412" s="176">
        <v>2800000</v>
      </c>
      <c r="I412" s="176"/>
      <c r="J412" s="176">
        <v>1120000</v>
      </c>
      <c r="K412" s="176"/>
      <c r="L412" s="159">
        <v>280000</v>
      </c>
      <c r="M412" s="159">
        <v>280000</v>
      </c>
      <c r="N412" s="159">
        <v>280000</v>
      </c>
      <c r="O412" s="159">
        <v>280000</v>
      </c>
      <c r="P412" s="140" t="s">
        <v>1007</v>
      </c>
    </row>
    <row r="413" spans="1:16" s="31" customFormat="1" ht="31.5">
      <c r="A413" s="171">
        <v>33</v>
      </c>
      <c r="B413" s="200" t="s">
        <v>36</v>
      </c>
      <c r="C413" s="267" t="s">
        <v>861</v>
      </c>
      <c r="D413" s="265" t="s">
        <v>862</v>
      </c>
      <c r="E413" s="265" t="s">
        <v>863</v>
      </c>
      <c r="F413" s="265">
        <v>2020</v>
      </c>
      <c r="G413" s="265">
        <v>2022</v>
      </c>
      <c r="H413" s="176">
        <v>717500</v>
      </c>
      <c r="I413" s="176"/>
      <c r="J413" s="176">
        <v>287000</v>
      </c>
      <c r="K413" s="176"/>
      <c r="L413" s="159">
        <v>71750</v>
      </c>
      <c r="M413" s="159">
        <v>71750</v>
      </c>
      <c r="N413" s="159">
        <v>71750</v>
      </c>
      <c r="O413" s="159">
        <v>71750</v>
      </c>
      <c r="P413" s="140" t="s">
        <v>1006</v>
      </c>
    </row>
    <row r="414" spans="1:16" s="31" customFormat="1" ht="78.75">
      <c r="A414" s="171">
        <v>34</v>
      </c>
      <c r="B414" s="200" t="s">
        <v>36</v>
      </c>
      <c r="C414" s="267" t="s">
        <v>864</v>
      </c>
      <c r="D414" s="265" t="s">
        <v>832</v>
      </c>
      <c r="E414" s="265" t="s">
        <v>860</v>
      </c>
      <c r="F414" s="265">
        <v>2020</v>
      </c>
      <c r="G414" s="265">
        <v>2022</v>
      </c>
      <c r="H414" s="176">
        <v>2800000</v>
      </c>
      <c r="I414" s="176"/>
      <c r="J414" s="176">
        <v>1120000</v>
      </c>
      <c r="K414" s="176"/>
      <c r="L414" s="159">
        <v>280000</v>
      </c>
      <c r="M414" s="159">
        <v>280000</v>
      </c>
      <c r="N414" s="159">
        <v>280000</v>
      </c>
      <c r="O414" s="159">
        <v>280000</v>
      </c>
      <c r="P414" s="267" t="s">
        <v>1008</v>
      </c>
    </row>
    <row r="415" spans="1:16" s="31" customFormat="1" ht="31.5">
      <c r="A415" s="171">
        <v>35</v>
      </c>
      <c r="B415" s="200" t="s">
        <v>36</v>
      </c>
      <c r="C415" s="267" t="s">
        <v>865</v>
      </c>
      <c r="D415" s="265" t="s">
        <v>866</v>
      </c>
      <c r="E415" s="265" t="s">
        <v>860</v>
      </c>
      <c r="F415" s="265">
        <v>2020</v>
      </c>
      <c r="G415" s="265">
        <v>2022</v>
      </c>
      <c r="H415" s="176">
        <v>2800000</v>
      </c>
      <c r="I415" s="176"/>
      <c r="J415" s="176">
        <v>1120000</v>
      </c>
      <c r="K415" s="176"/>
      <c r="L415" s="159">
        <v>280000</v>
      </c>
      <c r="M415" s="159">
        <v>280000</v>
      </c>
      <c r="N415" s="159">
        <v>280000</v>
      </c>
      <c r="O415" s="159">
        <v>280000</v>
      </c>
      <c r="P415" s="140" t="s">
        <v>1006</v>
      </c>
    </row>
    <row r="416" spans="1:16" s="31" customFormat="1" ht="31.5">
      <c r="A416" s="171">
        <v>36</v>
      </c>
      <c r="B416" s="200" t="s">
        <v>36</v>
      </c>
      <c r="C416" s="267" t="s">
        <v>867</v>
      </c>
      <c r="D416" s="265" t="s">
        <v>866</v>
      </c>
      <c r="E416" s="265" t="s">
        <v>860</v>
      </c>
      <c r="F416" s="265">
        <v>2020</v>
      </c>
      <c r="G416" s="265">
        <v>2022</v>
      </c>
      <c r="H416" s="176">
        <v>2800000</v>
      </c>
      <c r="I416" s="176"/>
      <c r="J416" s="176">
        <v>1120000</v>
      </c>
      <c r="K416" s="176"/>
      <c r="L416" s="159">
        <v>280000</v>
      </c>
      <c r="M416" s="159">
        <v>280000</v>
      </c>
      <c r="N416" s="159">
        <v>280000</v>
      </c>
      <c r="O416" s="159">
        <v>280000</v>
      </c>
      <c r="P416" s="140" t="s">
        <v>1006</v>
      </c>
    </row>
    <row r="417" spans="1:16" s="31" customFormat="1" ht="31.5">
      <c r="A417" s="171">
        <v>37</v>
      </c>
      <c r="B417" s="200" t="s">
        <v>36</v>
      </c>
      <c r="C417" s="267" t="s">
        <v>868</v>
      </c>
      <c r="D417" s="265" t="s">
        <v>866</v>
      </c>
      <c r="E417" s="265" t="s">
        <v>863</v>
      </c>
      <c r="F417" s="265">
        <v>2020</v>
      </c>
      <c r="G417" s="265">
        <v>2022</v>
      </c>
      <c r="H417" s="176">
        <v>717500</v>
      </c>
      <c r="I417" s="176"/>
      <c r="J417" s="176">
        <v>287000</v>
      </c>
      <c r="K417" s="176"/>
      <c r="L417" s="159">
        <v>71750</v>
      </c>
      <c r="M417" s="159">
        <v>71750</v>
      </c>
      <c r="N417" s="159">
        <v>71750</v>
      </c>
      <c r="O417" s="159">
        <v>71750</v>
      </c>
      <c r="P417" s="140" t="s">
        <v>1006</v>
      </c>
    </row>
    <row r="418" spans="1:16" s="31" customFormat="1" ht="31.5">
      <c r="A418" s="171">
        <v>38</v>
      </c>
      <c r="B418" s="200" t="s">
        <v>36</v>
      </c>
      <c r="C418" s="267" t="s">
        <v>869</v>
      </c>
      <c r="D418" s="265" t="s">
        <v>803</v>
      </c>
      <c r="E418" s="265" t="s">
        <v>860</v>
      </c>
      <c r="F418" s="265">
        <v>2020</v>
      </c>
      <c r="G418" s="265">
        <v>2022</v>
      </c>
      <c r="H418" s="176">
        <v>2800000</v>
      </c>
      <c r="I418" s="176"/>
      <c r="J418" s="176">
        <v>1120000</v>
      </c>
      <c r="K418" s="176"/>
      <c r="L418" s="159">
        <v>280000</v>
      </c>
      <c r="M418" s="159">
        <v>280000</v>
      </c>
      <c r="N418" s="159">
        <v>280000</v>
      </c>
      <c r="O418" s="159">
        <v>280000</v>
      </c>
      <c r="P418" s="140" t="s">
        <v>1006</v>
      </c>
    </row>
    <row r="419" spans="1:16" s="31" customFormat="1" ht="31.5">
      <c r="A419" s="171">
        <v>39</v>
      </c>
      <c r="B419" s="200" t="s">
        <v>36</v>
      </c>
      <c r="C419" s="267" t="s">
        <v>870</v>
      </c>
      <c r="D419" s="265" t="s">
        <v>809</v>
      </c>
      <c r="E419" s="265" t="s">
        <v>858</v>
      </c>
      <c r="F419" s="265">
        <v>2020</v>
      </c>
      <c r="G419" s="265">
        <v>2022</v>
      </c>
      <c r="H419" s="176">
        <v>4273500</v>
      </c>
      <c r="I419" s="176"/>
      <c r="J419" s="176">
        <v>1709400</v>
      </c>
      <c r="K419" s="176"/>
      <c r="L419" s="159">
        <v>427350</v>
      </c>
      <c r="M419" s="159">
        <v>427350</v>
      </c>
      <c r="N419" s="159">
        <v>427350</v>
      </c>
      <c r="O419" s="159">
        <v>427350</v>
      </c>
      <c r="P419" s="140" t="s">
        <v>1006</v>
      </c>
    </row>
    <row r="420" spans="1:16" s="31" customFormat="1" ht="31.5">
      <c r="A420" s="171">
        <v>40</v>
      </c>
      <c r="B420" s="200" t="s">
        <v>36</v>
      </c>
      <c r="C420" s="267" t="s">
        <v>871</v>
      </c>
      <c r="D420" s="265" t="s">
        <v>48</v>
      </c>
      <c r="E420" s="265" t="s">
        <v>860</v>
      </c>
      <c r="F420" s="265">
        <v>2020</v>
      </c>
      <c r="G420" s="265">
        <v>2022</v>
      </c>
      <c r="H420" s="176">
        <v>2800000</v>
      </c>
      <c r="I420" s="176"/>
      <c r="J420" s="176">
        <v>1120000</v>
      </c>
      <c r="K420" s="176"/>
      <c r="L420" s="159">
        <v>280000</v>
      </c>
      <c r="M420" s="159">
        <v>280000</v>
      </c>
      <c r="N420" s="159">
        <v>280000</v>
      </c>
      <c r="O420" s="159">
        <v>280000</v>
      </c>
      <c r="P420" s="140" t="s">
        <v>1006</v>
      </c>
    </row>
    <row r="421" spans="1:16" s="31" customFormat="1" ht="110.25">
      <c r="A421" s="171">
        <v>41</v>
      </c>
      <c r="B421" s="200" t="s">
        <v>36</v>
      </c>
      <c r="C421" s="264" t="s">
        <v>872</v>
      </c>
      <c r="D421" s="265" t="s">
        <v>30</v>
      </c>
      <c r="E421" s="265" t="s">
        <v>858</v>
      </c>
      <c r="F421" s="265">
        <v>2020</v>
      </c>
      <c r="G421" s="265">
        <v>2022</v>
      </c>
      <c r="H421" s="176">
        <v>4273500</v>
      </c>
      <c r="I421" s="176"/>
      <c r="J421" s="176">
        <v>3709400</v>
      </c>
      <c r="K421" s="176"/>
      <c r="L421" s="159">
        <v>927350</v>
      </c>
      <c r="M421" s="159">
        <v>927350</v>
      </c>
      <c r="N421" s="159">
        <v>927350</v>
      </c>
      <c r="O421" s="159">
        <v>927350</v>
      </c>
      <c r="P421" s="267" t="s">
        <v>1009</v>
      </c>
    </row>
    <row r="422" spans="1:16" s="31" customFormat="1" ht="94.5">
      <c r="A422" s="171">
        <v>42</v>
      </c>
      <c r="B422" s="200" t="s">
        <v>36</v>
      </c>
      <c r="C422" s="267" t="s">
        <v>873</v>
      </c>
      <c r="D422" s="265" t="s">
        <v>862</v>
      </c>
      <c r="E422" s="265" t="s">
        <v>860</v>
      </c>
      <c r="F422" s="265">
        <v>2020</v>
      </c>
      <c r="G422" s="265">
        <v>2022</v>
      </c>
      <c r="H422" s="176">
        <v>2800000</v>
      </c>
      <c r="I422" s="176"/>
      <c r="J422" s="176">
        <v>1120000</v>
      </c>
      <c r="K422" s="176"/>
      <c r="L422" s="159">
        <v>280000</v>
      </c>
      <c r="M422" s="159">
        <v>280000</v>
      </c>
      <c r="N422" s="159">
        <v>280000</v>
      </c>
      <c r="O422" s="159">
        <v>280000</v>
      </c>
      <c r="P422" s="140" t="s">
        <v>1010</v>
      </c>
    </row>
    <row r="423" spans="1:16" s="31" customFormat="1" ht="31.5">
      <c r="A423" s="171">
        <v>43</v>
      </c>
      <c r="B423" s="200" t="s">
        <v>36</v>
      </c>
      <c r="C423" s="267" t="s">
        <v>874</v>
      </c>
      <c r="D423" s="265" t="s">
        <v>819</v>
      </c>
      <c r="E423" s="265" t="s">
        <v>875</v>
      </c>
      <c r="F423" s="265">
        <v>2020</v>
      </c>
      <c r="G423" s="265">
        <v>2022</v>
      </c>
      <c r="H423" s="176">
        <v>3426500</v>
      </c>
      <c r="I423" s="176"/>
      <c r="J423" s="176">
        <v>1370600</v>
      </c>
      <c r="K423" s="176"/>
      <c r="L423" s="159">
        <v>342650</v>
      </c>
      <c r="M423" s="159">
        <v>342650</v>
      </c>
      <c r="N423" s="159">
        <v>342650</v>
      </c>
      <c r="O423" s="159">
        <v>342650</v>
      </c>
      <c r="P423" s="140" t="s">
        <v>1006</v>
      </c>
    </row>
    <row r="424" spans="1:16" s="31" customFormat="1" ht="31.5">
      <c r="A424" s="171">
        <v>44</v>
      </c>
      <c r="B424" s="200" t="s">
        <v>36</v>
      </c>
      <c r="C424" s="267" t="s">
        <v>876</v>
      </c>
      <c r="D424" s="265" t="s">
        <v>50</v>
      </c>
      <c r="E424" s="265" t="s">
        <v>858</v>
      </c>
      <c r="F424" s="265">
        <v>2020</v>
      </c>
      <c r="G424" s="265">
        <v>2022</v>
      </c>
      <c r="H424" s="176">
        <v>4273500</v>
      </c>
      <c r="I424" s="176"/>
      <c r="J424" s="176">
        <v>1709400</v>
      </c>
      <c r="K424" s="176"/>
      <c r="L424" s="159">
        <v>427350</v>
      </c>
      <c r="M424" s="159">
        <v>427350</v>
      </c>
      <c r="N424" s="159">
        <v>427350</v>
      </c>
      <c r="O424" s="159">
        <v>427350</v>
      </c>
      <c r="P424" s="140" t="s">
        <v>1006</v>
      </c>
    </row>
    <row r="425" spans="1:16" s="31" customFormat="1" ht="31.5">
      <c r="A425" s="171">
        <v>45</v>
      </c>
      <c r="B425" s="200" t="s">
        <v>36</v>
      </c>
      <c r="C425" s="267" t="s">
        <v>877</v>
      </c>
      <c r="D425" s="265" t="s">
        <v>851</v>
      </c>
      <c r="E425" s="265" t="s">
        <v>863</v>
      </c>
      <c r="F425" s="265">
        <v>2020</v>
      </c>
      <c r="G425" s="265">
        <v>2022</v>
      </c>
      <c r="H425" s="176">
        <v>717500</v>
      </c>
      <c r="I425" s="176"/>
      <c r="J425" s="176">
        <v>287000</v>
      </c>
      <c r="K425" s="176"/>
      <c r="L425" s="159">
        <v>71750</v>
      </c>
      <c r="M425" s="159">
        <v>71750</v>
      </c>
      <c r="N425" s="159">
        <v>71750</v>
      </c>
      <c r="O425" s="159">
        <v>71750</v>
      </c>
      <c r="P425" s="140" t="s">
        <v>1006</v>
      </c>
    </row>
    <row r="426" spans="1:16" s="31" customFormat="1" ht="31.5">
      <c r="A426" s="171">
        <v>46</v>
      </c>
      <c r="B426" s="200" t="s">
        <v>36</v>
      </c>
      <c r="C426" s="267" t="s">
        <v>878</v>
      </c>
      <c r="D426" s="265" t="s">
        <v>879</v>
      </c>
      <c r="E426" s="265" t="s">
        <v>860</v>
      </c>
      <c r="F426" s="265">
        <v>2020</v>
      </c>
      <c r="G426" s="265">
        <v>2022</v>
      </c>
      <c r="H426" s="176">
        <v>1435000</v>
      </c>
      <c r="I426" s="176"/>
      <c r="J426" s="176">
        <v>574000</v>
      </c>
      <c r="K426" s="176"/>
      <c r="L426" s="159">
        <v>143500</v>
      </c>
      <c r="M426" s="159">
        <v>143500</v>
      </c>
      <c r="N426" s="159">
        <v>143500</v>
      </c>
      <c r="O426" s="159">
        <v>143500</v>
      </c>
      <c r="P426" s="140" t="s">
        <v>1006</v>
      </c>
    </row>
    <row r="427" spans="1:16" s="31" customFormat="1" ht="78.75">
      <c r="A427" s="171">
        <v>47</v>
      </c>
      <c r="B427" s="200" t="s">
        <v>36</v>
      </c>
      <c r="C427" s="267" t="s">
        <v>880</v>
      </c>
      <c r="D427" s="265" t="s">
        <v>22</v>
      </c>
      <c r="E427" s="265" t="s">
        <v>860</v>
      </c>
      <c r="F427" s="265">
        <v>2020</v>
      </c>
      <c r="G427" s="265">
        <v>2022</v>
      </c>
      <c r="H427" s="176">
        <v>2800000</v>
      </c>
      <c r="I427" s="176"/>
      <c r="J427" s="176">
        <v>1120000</v>
      </c>
      <c r="K427" s="176"/>
      <c r="L427" s="159">
        <v>280000</v>
      </c>
      <c r="M427" s="159">
        <v>280000</v>
      </c>
      <c r="N427" s="159">
        <v>280000</v>
      </c>
      <c r="O427" s="159">
        <v>280000</v>
      </c>
      <c r="P427" s="267" t="s">
        <v>1011</v>
      </c>
    </row>
    <row r="428" spans="1:16" s="31" customFormat="1" ht="78.75">
      <c r="A428" s="171">
        <v>48</v>
      </c>
      <c r="B428" s="200" t="s">
        <v>36</v>
      </c>
      <c r="C428" s="267" t="s">
        <v>881</v>
      </c>
      <c r="D428" s="265" t="s">
        <v>49</v>
      </c>
      <c r="E428" s="265" t="s">
        <v>860</v>
      </c>
      <c r="F428" s="265">
        <v>2020</v>
      </c>
      <c r="G428" s="265">
        <v>2022</v>
      </c>
      <c r="H428" s="176">
        <v>2800000</v>
      </c>
      <c r="I428" s="176"/>
      <c r="J428" s="176">
        <v>1120000</v>
      </c>
      <c r="K428" s="176"/>
      <c r="L428" s="159">
        <v>280000</v>
      </c>
      <c r="M428" s="159">
        <v>280000</v>
      </c>
      <c r="N428" s="159">
        <v>280000</v>
      </c>
      <c r="O428" s="159">
        <v>280000</v>
      </c>
      <c r="P428" s="267" t="s">
        <v>1012</v>
      </c>
    </row>
    <row r="429" spans="1:16" s="31" customFormat="1" ht="94.5">
      <c r="A429" s="171">
        <v>49</v>
      </c>
      <c r="B429" s="200" t="s">
        <v>36</v>
      </c>
      <c r="C429" s="267" t="s">
        <v>882</v>
      </c>
      <c r="D429" s="265" t="s">
        <v>22</v>
      </c>
      <c r="E429" s="265" t="s">
        <v>860</v>
      </c>
      <c r="F429" s="265">
        <v>2020</v>
      </c>
      <c r="G429" s="265">
        <v>2022</v>
      </c>
      <c r="H429" s="176">
        <v>2800000</v>
      </c>
      <c r="I429" s="176"/>
      <c r="J429" s="176">
        <v>1120000</v>
      </c>
      <c r="K429" s="176"/>
      <c r="L429" s="159">
        <v>280000</v>
      </c>
      <c r="M429" s="159">
        <v>280000</v>
      </c>
      <c r="N429" s="159">
        <v>280000</v>
      </c>
      <c r="O429" s="159">
        <v>280000</v>
      </c>
      <c r="P429" s="140" t="s">
        <v>1013</v>
      </c>
    </row>
    <row r="430" spans="1:16" s="31" customFormat="1" ht="78.75">
      <c r="A430" s="171">
        <v>50</v>
      </c>
      <c r="B430" s="200" t="s">
        <v>36</v>
      </c>
      <c r="C430" s="267" t="s">
        <v>883</v>
      </c>
      <c r="D430" s="265" t="s">
        <v>823</v>
      </c>
      <c r="E430" s="265" t="s">
        <v>860</v>
      </c>
      <c r="F430" s="265">
        <v>2020</v>
      </c>
      <c r="G430" s="265">
        <v>2022</v>
      </c>
      <c r="H430" s="176">
        <v>2800000</v>
      </c>
      <c r="I430" s="176"/>
      <c r="J430" s="176">
        <v>1120000</v>
      </c>
      <c r="K430" s="176"/>
      <c r="L430" s="159">
        <v>280000</v>
      </c>
      <c r="M430" s="159">
        <v>280000</v>
      </c>
      <c r="N430" s="159">
        <v>280000</v>
      </c>
      <c r="O430" s="159">
        <v>280000</v>
      </c>
      <c r="P430" s="267" t="s">
        <v>1014</v>
      </c>
    </row>
    <row r="431" spans="1:16" s="31" customFormat="1" ht="31.5">
      <c r="A431" s="171">
        <v>51</v>
      </c>
      <c r="B431" s="200" t="s">
        <v>36</v>
      </c>
      <c r="C431" s="267" t="s">
        <v>884</v>
      </c>
      <c r="D431" s="265" t="s">
        <v>37</v>
      </c>
      <c r="E431" s="265" t="s">
        <v>860</v>
      </c>
      <c r="F431" s="265">
        <v>2020</v>
      </c>
      <c r="G431" s="265">
        <v>2022</v>
      </c>
      <c r="H431" s="176">
        <v>2800000</v>
      </c>
      <c r="I431" s="176"/>
      <c r="J431" s="176">
        <v>1120000</v>
      </c>
      <c r="K431" s="176"/>
      <c r="L431" s="159">
        <v>280000</v>
      </c>
      <c r="M431" s="159">
        <v>280000</v>
      </c>
      <c r="N431" s="159">
        <v>280000</v>
      </c>
      <c r="O431" s="159">
        <v>280000</v>
      </c>
      <c r="P431" s="140" t="s">
        <v>1006</v>
      </c>
    </row>
    <row r="432" spans="1:16" s="31" customFormat="1" ht="78.75">
      <c r="A432" s="171">
        <v>52</v>
      </c>
      <c r="B432" s="200" t="s">
        <v>36</v>
      </c>
      <c r="C432" s="267" t="s">
        <v>885</v>
      </c>
      <c r="D432" s="265" t="s">
        <v>834</v>
      </c>
      <c r="E432" s="265" t="s">
        <v>828</v>
      </c>
      <c r="F432" s="265">
        <v>2020</v>
      </c>
      <c r="G432" s="265">
        <v>2022</v>
      </c>
      <c r="H432" s="176">
        <v>13827000</v>
      </c>
      <c r="I432" s="176"/>
      <c r="J432" s="176">
        <v>3456750</v>
      </c>
      <c r="K432" s="176"/>
      <c r="L432" s="159">
        <v>864187.5</v>
      </c>
      <c r="M432" s="159">
        <v>864187.5</v>
      </c>
      <c r="N432" s="159">
        <v>864187.5</v>
      </c>
      <c r="O432" s="159">
        <v>864187.5</v>
      </c>
      <c r="P432" s="140" t="s">
        <v>1015</v>
      </c>
    </row>
    <row r="433" spans="1:16" s="31" customFormat="1" ht="78.75">
      <c r="A433" s="171">
        <v>53</v>
      </c>
      <c r="B433" s="200" t="s">
        <v>36</v>
      </c>
      <c r="C433" s="267" t="s">
        <v>886</v>
      </c>
      <c r="D433" s="265" t="s">
        <v>51</v>
      </c>
      <c r="E433" s="265" t="s">
        <v>817</v>
      </c>
      <c r="F433" s="265">
        <v>2020</v>
      </c>
      <c r="G433" s="265">
        <v>2022</v>
      </c>
      <c r="H433" s="176">
        <v>18618000</v>
      </c>
      <c r="I433" s="176"/>
      <c r="J433" s="176">
        <v>4654500</v>
      </c>
      <c r="K433" s="176"/>
      <c r="L433" s="159">
        <v>1163625</v>
      </c>
      <c r="M433" s="159">
        <v>1163625</v>
      </c>
      <c r="N433" s="159">
        <v>1163625</v>
      </c>
      <c r="O433" s="159">
        <v>1163625</v>
      </c>
      <c r="P433" s="140" t="s">
        <v>1015</v>
      </c>
    </row>
    <row r="434" spans="1:16" s="31" customFormat="1" ht="78.75">
      <c r="A434" s="171">
        <v>54</v>
      </c>
      <c r="B434" s="200" t="s">
        <v>36</v>
      </c>
      <c r="C434" s="267" t="s">
        <v>887</v>
      </c>
      <c r="D434" s="265" t="s">
        <v>51</v>
      </c>
      <c r="E434" s="265" t="s">
        <v>817</v>
      </c>
      <c r="F434" s="265">
        <v>2020</v>
      </c>
      <c r="G434" s="265">
        <v>2022</v>
      </c>
      <c r="H434" s="176">
        <v>18618000</v>
      </c>
      <c r="I434" s="176"/>
      <c r="J434" s="176">
        <v>4654500</v>
      </c>
      <c r="K434" s="176"/>
      <c r="L434" s="159">
        <v>1163625</v>
      </c>
      <c r="M434" s="159">
        <v>1163625</v>
      </c>
      <c r="N434" s="159">
        <v>1163625</v>
      </c>
      <c r="O434" s="159">
        <v>1163625</v>
      </c>
      <c r="P434" s="140" t="s">
        <v>1015</v>
      </c>
    </row>
    <row r="435" spans="1:16" s="31" customFormat="1" ht="78.75">
      <c r="A435" s="171">
        <v>55</v>
      </c>
      <c r="B435" s="200" t="s">
        <v>36</v>
      </c>
      <c r="C435" s="267" t="s">
        <v>888</v>
      </c>
      <c r="D435" s="265" t="s">
        <v>48</v>
      </c>
      <c r="E435" s="265" t="s">
        <v>817</v>
      </c>
      <c r="F435" s="265">
        <v>2020</v>
      </c>
      <c r="G435" s="265">
        <v>2022</v>
      </c>
      <c r="H435" s="176">
        <v>18618000</v>
      </c>
      <c r="I435" s="176"/>
      <c r="J435" s="176">
        <v>4654500</v>
      </c>
      <c r="K435" s="176"/>
      <c r="L435" s="159">
        <v>1163625</v>
      </c>
      <c r="M435" s="159">
        <v>1163625</v>
      </c>
      <c r="N435" s="159">
        <v>1163625</v>
      </c>
      <c r="O435" s="159">
        <v>1163625</v>
      </c>
      <c r="P435" s="140" t="s">
        <v>1015</v>
      </c>
    </row>
    <row r="436" spans="1:16" s="31" customFormat="1" ht="78.75">
      <c r="A436" s="171">
        <v>56</v>
      </c>
      <c r="B436" s="200" t="s">
        <v>36</v>
      </c>
      <c r="C436" s="267" t="s">
        <v>889</v>
      </c>
      <c r="D436" s="265" t="s">
        <v>823</v>
      </c>
      <c r="E436" s="265" t="s">
        <v>828</v>
      </c>
      <c r="F436" s="265">
        <v>2020</v>
      </c>
      <c r="G436" s="265">
        <v>2022</v>
      </c>
      <c r="H436" s="176">
        <v>13827000</v>
      </c>
      <c r="I436" s="176"/>
      <c r="J436" s="176">
        <v>3456750</v>
      </c>
      <c r="K436" s="176"/>
      <c r="L436" s="159">
        <v>864187.5</v>
      </c>
      <c r="M436" s="159">
        <v>864187.5</v>
      </c>
      <c r="N436" s="159">
        <v>864187.5</v>
      </c>
      <c r="O436" s="159">
        <v>864187.5</v>
      </c>
      <c r="P436" s="140" t="s">
        <v>1015</v>
      </c>
    </row>
    <row r="437" spans="1:16" s="31" customFormat="1" ht="78.75">
      <c r="A437" s="171">
        <v>57</v>
      </c>
      <c r="B437" s="200" t="s">
        <v>36</v>
      </c>
      <c r="C437" s="267" t="s">
        <v>890</v>
      </c>
      <c r="D437" s="265" t="s">
        <v>823</v>
      </c>
      <c r="E437" s="265" t="s">
        <v>817</v>
      </c>
      <c r="F437" s="265">
        <v>2020</v>
      </c>
      <c r="G437" s="265">
        <v>2022</v>
      </c>
      <c r="H437" s="176">
        <v>13827000</v>
      </c>
      <c r="I437" s="176"/>
      <c r="J437" s="176">
        <v>3456750</v>
      </c>
      <c r="K437" s="176"/>
      <c r="L437" s="159">
        <v>864187.5</v>
      </c>
      <c r="M437" s="159">
        <v>864187.5</v>
      </c>
      <c r="N437" s="159">
        <v>864187.5</v>
      </c>
      <c r="O437" s="159">
        <v>864187.5</v>
      </c>
      <c r="P437" s="140" t="s">
        <v>1015</v>
      </c>
    </row>
    <row r="438" spans="1:16" s="31" customFormat="1" ht="27.75" customHeight="1">
      <c r="A438" s="171">
        <v>58</v>
      </c>
      <c r="B438" s="200" t="s">
        <v>36</v>
      </c>
      <c r="C438" s="267" t="s">
        <v>891</v>
      </c>
      <c r="D438" s="265" t="s">
        <v>892</v>
      </c>
      <c r="E438" s="265" t="s">
        <v>810</v>
      </c>
      <c r="F438" s="265">
        <v>2021</v>
      </c>
      <c r="G438" s="265">
        <v>2022</v>
      </c>
      <c r="H438" s="176">
        <v>30000000</v>
      </c>
      <c r="I438" s="176"/>
      <c r="J438" s="176">
        <v>7500000</v>
      </c>
      <c r="K438" s="176"/>
      <c r="L438" s="159">
        <v>1875000</v>
      </c>
      <c r="M438" s="159">
        <v>1875000</v>
      </c>
      <c r="N438" s="159">
        <v>1875000</v>
      </c>
      <c r="O438" s="159">
        <v>1875000</v>
      </c>
      <c r="P438" s="140" t="s">
        <v>1016</v>
      </c>
    </row>
    <row r="439" spans="1:16" s="31" customFormat="1" ht="27.75" customHeight="1">
      <c r="A439" s="171">
        <v>59</v>
      </c>
      <c r="B439" s="200" t="s">
        <v>36</v>
      </c>
      <c r="C439" s="267" t="s">
        <v>893</v>
      </c>
      <c r="D439" s="265" t="s">
        <v>892</v>
      </c>
      <c r="E439" s="265" t="s">
        <v>839</v>
      </c>
      <c r="F439" s="265">
        <v>2021</v>
      </c>
      <c r="G439" s="265">
        <v>2022</v>
      </c>
      <c r="H439" s="176">
        <v>34000000</v>
      </c>
      <c r="I439" s="176"/>
      <c r="J439" s="176">
        <v>8500000</v>
      </c>
      <c r="K439" s="176"/>
      <c r="L439" s="159">
        <v>2125000</v>
      </c>
      <c r="M439" s="159">
        <v>2125000</v>
      </c>
      <c r="N439" s="159">
        <v>2125000</v>
      </c>
      <c r="O439" s="159">
        <v>2125000</v>
      </c>
      <c r="P439" s="140" t="s">
        <v>1016</v>
      </c>
    </row>
    <row r="440" spans="1:16" s="31" customFormat="1" ht="27.75" customHeight="1">
      <c r="A440" s="171">
        <v>60</v>
      </c>
      <c r="B440" s="200" t="s">
        <v>36</v>
      </c>
      <c r="C440" s="267" t="s">
        <v>894</v>
      </c>
      <c r="D440" s="265" t="s">
        <v>48</v>
      </c>
      <c r="E440" s="265" t="s">
        <v>828</v>
      </c>
      <c r="F440" s="265">
        <v>2021</v>
      </c>
      <c r="G440" s="265">
        <v>2022</v>
      </c>
      <c r="H440" s="176">
        <v>15675000</v>
      </c>
      <c r="I440" s="176"/>
      <c r="J440" s="176">
        <v>3918750</v>
      </c>
      <c r="K440" s="176"/>
      <c r="L440" s="159">
        <v>979687.5</v>
      </c>
      <c r="M440" s="159">
        <v>979687.5</v>
      </c>
      <c r="N440" s="159">
        <v>979687.5</v>
      </c>
      <c r="O440" s="159">
        <v>979687.5</v>
      </c>
      <c r="P440" s="140" t="s">
        <v>1016</v>
      </c>
    </row>
    <row r="441" spans="1:16" s="31" customFormat="1" ht="27.75" customHeight="1">
      <c r="A441" s="171">
        <v>61</v>
      </c>
      <c r="B441" s="200" t="s">
        <v>36</v>
      </c>
      <c r="C441" s="267" t="s">
        <v>895</v>
      </c>
      <c r="D441" s="265" t="s">
        <v>806</v>
      </c>
      <c r="E441" s="265" t="s">
        <v>824</v>
      </c>
      <c r="F441" s="265">
        <v>2021</v>
      </c>
      <c r="G441" s="265">
        <v>2022</v>
      </c>
      <c r="H441" s="176">
        <v>9390000</v>
      </c>
      <c r="I441" s="176"/>
      <c r="J441" s="176">
        <v>2347500</v>
      </c>
      <c r="K441" s="176"/>
      <c r="L441" s="159">
        <v>586875</v>
      </c>
      <c r="M441" s="159">
        <v>586875</v>
      </c>
      <c r="N441" s="159">
        <v>586875</v>
      </c>
      <c r="O441" s="159">
        <v>586875</v>
      </c>
      <c r="P441" s="140" t="s">
        <v>1016</v>
      </c>
    </row>
    <row r="442" spans="1:16" s="31" customFormat="1" ht="27.75" customHeight="1">
      <c r="A442" s="171">
        <v>62</v>
      </c>
      <c r="B442" s="200" t="s">
        <v>36</v>
      </c>
      <c r="C442" s="267" t="s">
        <v>896</v>
      </c>
      <c r="D442" s="265" t="s">
        <v>842</v>
      </c>
      <c r="E442" s="265" t="s">
        <v>810</v>
      </c>
      <c r="F442" s="265">
        <v>2021</v>
      </c>
      <c r="G442" s="265">
        <v>2022</v>
      </c>
      <c r="H442" s="176">
        <v>9000000</v>
      </c>
      <c r="I442" s="176"/>
      <c r="J442" s="176">
        <v>2250000</v>
      </c>
      <c r="K442" s="176"/>
      <c r="L442" s="159">
        <v>562500</v>
      </c>
      <c r="M442" s="159">
        <v>562500</v>
      </c>
      <c r="N442" s="159">
        <v>562500</v>
      </c>
      <c r="O442" s="159">
        <v>562500</v>
      </c>
      <c r="P442" s="140" t="s">
        <v>1017</v>
      </c>
    </row>
    <row r="443" spans="1:16" s="31" customFormat="1" ht="27.75" customHeight="1">
      <c r="A443" s="171">
        <v>63</v>
      </c>
      <c r="B443" s="200" t="s">
        <v>36</v>
      </c>
      <c r="C443" s="267" t="s">
        <v>897</v>
      </c>
      <c r="D443" s="265" t="s">
        <v>842</v>
      </c>
      <c r="E443" s="265" t="s">
        <v>839</v>
      </c>
      <c r="F443" s="265">
        <v>2021</v>
      </c>
      <c r="G443" s="265">
        <v>2022</v>
      </c>
      <c r="H443" s="176">
        <v>9000000</v>
      </c>
      <c r="I443" s="176"/>
      <c r="J443" s="176">
        <v>2250000</v>
      </c>
      <c r="K443" s="176"/>
      <c r="L443" s="159">
        <v>562500</v>
      </c>
      <c r="M443" s="159">
        <v>562500</v>
      </c>
      <c r="N443" s="159">
        <v>562500</v>
      </c>
      <c r="O443" s="159">
        <v>562500</v>
      </c>
      <c r="P443" s="140" t="s">
        <v>1017</v>
      </c>
    </row>
    <row r="444" spans="1:16" s="31" customFormat="1" ht="31.5">
      <c r="A444" s="171">
        <v>64</v>
      </c>
      <c r="B444" s="200" t="s">
        <v>36</v>
      </c>
      <c r="C444" s="267" t="s">
        <v>898</v>
      </c>
      <c r="D444" s="265" t="s">
        <v>836</v>
      </c>
      <c r="E444" s="265" t="s">
        <v>817</v>
      </c>
      <c r="F444" s="265">
        <v>2021</v>
      </c>
      <c r="G444" s="265">
        <v>2022</v>
      </c>
      <c r="H444" s="176">
        <v>13827000</v>
      </c>
      <c r="I444" s="176"/>
      <c r="J444" s="176">
        <v>3456750</v>
      </c>
      <c r="K444" s="176"/>
      <c r="L444" s="159">
        <v>864187.5</v>
      </c>
      <c r="M444" s="159">
        <v>864187.5</v>
      </c>
      <c r="N444" s="159">
        <v>864187.5</v>
      </c>
      <c r="O444" s="159">
        <v>864187.5</v>
      </c>
      <c r="P444" s="140" t="s">
        <v>1018</v>
      </c>
    </row>
    <row r="445" spans="1:16" s="31" customFormat="1" ht="31.5">
      <c r="A445" s="171">
        <v>65</v>
      </c>
      <c r="B445" s="200" t="s">
        <v>36</v>
      </c>
      <c r="C445" s="267" t="s">
        <v>899</v>
      </c>
      <c r="D445" s="265" t="s">
        <v>806</v>
      </c>
      <c r="E445" s="265" t="s">
        <v>858</v>
      </c>
      <c r="F445" s="265">
        <v>2020</v>
      </c>
      <c r="G445" s="265">
        <v>2022</v>
      </c>
      <c r="H445" s="176">
        <v>4273500</v>
      </c>
      <c r="I445" s="176"/>
      <c r="J445" s="176">
        <v>1709400</v>
      </c>
      <c r="K445" s="176"/>
      <c r="L445" s="159">
        <v>427350</v>
      </c>
      <c r="M445" s="159">
        <v>427350</v>
      </c>
      <c r="N445" s="159">
        <v>427350</v>
      </c>
      <c r="O445" s="159">
        <v>427350</v>
      </c>
      <c r="P445" s="140" t="s">
        <v>1018</v>
      </c>
    </row>
    <row r="446" spans="1:16" s="31" customFormat="1" ht="31.5">
      <c r="A446" s="171">
        <v>66</v>
      </c>
      <c r="B446" s="200" t="s">
        <v>36</v>
      </c>
      <c r="C446" s="267" t="s">
        <v>900</v>
      </c>
      <c r="D446" s="265" t="s">
        <v>48</v>
      </c>
      <c r="E446" s="265" t="s">
        <v>875</v>
      </c>
      <c r="F446" s="265">
        <v>2020</v>
      </c>
      <c r="G446" s="265">
        <v>2022</v>
      </c>
      <c r="H446" s="176">
        <v>3426500</v>
      </c>
      <c r="I446" s="176"/>
      <c r="J446" s="176">
        <v>1370600</v>
      </c>
      <c r="K446" s="176"/>
      <c r="L446" s="159">
        <v>342650</v>
      </c>
      <c r="M446" s="159">
        <v>342650</v>
      </c>
      <c r="N446" s="159">
        <v>342650</v>
      </c>
      <c r="O446" s="159">
        <v>342650</v>
      </c>
      <c r="P446" s="140" t="s">
        <v>1018</v>
      </c>
    </row>
    <row r="447" spans="1:16" s="31" customFormat="1" ht="31.5">
      <c r="A447" s="171">
        <v>67</v>
      </c>
      <c r="B447" s="200" t="s">
        <v>36</v>
      </c>
      <c r="C447" s="267" t="s">
        <v>901</v>
      </c>
      <c r="D447" s="265" t="s">
        <v>48</v>
      </c>
      <c r="E447" s="265" t="s">
        <v>860</v>
      </c>
      <c r="F447" s="265">
        <v>2020</v>
      </c>
      <c r="G447" s="265">
        <v>2022</v>
      </c>
      <c r="H447" s="176">
        <v>2800000</v>
      </c>
      <c r="I447" s="176"/>
      <c r="J447" s="176">
        <v>1120000</v>
      </c>
      <c r="K447" s="176"/>
      <c r="L447" s="159">
        <v>280000</v>
      </c>
      <c r="M447" s="159">
        <v>280000</v>
      </c>
      <c r="N447" s="159">
        <v>280000</v>
      </c>
      <c r="O447" s="159">
        <v>280000</v>
      </c>
      <c r="P447" s="140" t="s">
        <v>1018</v>
      </c>
    </row>
    <row r="448" spans="1:16" s="31" customFormat="1" ht="31.5">
      <c r="A448" s="171">
        <v>68</v>
      </c>
      <c r="B448" s="200" t="s">
        <v>36</v>
      </c>
      <c r="C448" s="267" t="s">
        <v>902</v>
      </c>
      <c r="D448" s="265" t="s">
        <v>842</v>
      </c>
      <c r="E448" s="265" t="s">
        <v>875</v>
      </c>
      <c r="F448" s="265">
        <v>2020</v>
      </c>
      <c r="G448" s="265">
        <v>2022</v>
      </c>
      <c r="H448" s="176">
        <v>3426500</v>
      </c>
      <c r="I448" s="176"/>
      <c r="J448" s="176">
        <v>1370600</v>
      </c>
      <c r="K448" s="176"/>
      <c r="L448" s="159">
        <v>342650</v>
      </c>
      <c r="M448" s="159">
        <v>342650</v>
      </c>
      <c r="N448" s="159">
        <v>342650</v>
      </c>
      <c r="O448" s="159">
        <v>342650</v>
      </c>
      <c r="P448" s="140" t="s">
        <v>1018</v>
      </c>
    </row>
    <row r="449" spans="1:16" s="31" customFormat="1" ht="31.5">
      <c r="A449" s="171">
        <v>69</v>
      </c>
      <c r="B449" s="200" t="s">
        <v>36</v>
      </c>
      <c r="C449" s="267" t="s">
        <v>902</v>
      </c>
      <c r="D449" s="265" t="s">
        <v>842</v>
      </c>
      <c r="E449" s="265" t="s">
        <v>875</v>
      </c>
      <c r="F449" s="265">
        <v>2021</v>
      </c>
      <c r="G449" s="265">
        <v>2022</v>
      </c>
      <c r="H449" s="176">
        <v>3426500</v>
      </c>
      <c r="I449" s="176"/>
      <c r="J449" s="176">
        <v>1370600</v>
      </c>
      <c r="K449" s="176"/>
      <c r="L449" s="159">
        <v>342650</v>
      </c>
      <c r="M449" s="159">
        <v>342650</v>
      </c>
      <c r="N449" s="159">
        <v>342650</v>
      </c>
      <c r="O449" s="159">
        <v>342650</v>
      </c>
      <c r="P449" s="140" t="s">
        <v>1018</v>
      </c>
    </row>
    <row r="450" spans="1:16" s="31" customFormat="1" ht="31.5">
      <c r="A450" s="171">
        <v>70</v>
      </c>
      <c r="B450" s="200" t="s">
        <v>36</v>
      </c>
      <c r="C450" s="267" t="s">
        <v>903</v>
      </c>
      <c r="D450" s="265" t="s">
        <v>836</v>
      </c>
      <c r="E450" s="265" t="s">
        <v>858</v>
      </c>
      <c r="F450" s="265">
        <v>2021</v>
      </c>
      <c r="G450" s="265">
        <v>2022</v>
      </c>
      <c r="H450" s="176">
        <v>6027000</v>
      </c>
      <c r="I450" s="176"/>
      <c r="J450" s="176">
        <v>2410800</v>
      </c>
      <c r="K450" s="176"/>
      <c r="L450" s="159">
        <v>602700</v>
      </c>
      <c r="M450" s="159">
        <v>602700</v>
      </c>
      <c r="N450" s="159">
        <v>602700</v>
      </c>
      <c r="O450" s="159">
        <v>602700</v>
      </c>
      <c r="P450" s="140" t="s">
        <v>1018</v>
      </c>
    </row>
    <row r="451" spans="1:16" s="31" customFormat="1" ht="31.5">
      <c r="A451" s="171">
        <v>71</v>
      </c>
      <c r="B451" s="200" t="s">
        <v>36</v>
      </c>
      <c r="C451" s="268" t="s">
        <v>904</v>
      </c>
      <c r="D451" s="269" t="s">
        <v>836</v>
      </c>
      <c r="E451" s="269" t="s">
        <v>858</v>
      </c>
      <c r="F451" s="269">
        <v>2021</v>
      </c>
      <c r="G451" s="269">
        <v>2022</v>
      </c>
      <c r="H451" s="176">
        <v>6027000</v>
      </c>
      <c r="I451" s="176"/>
      <c r="J451" s="176">
        <v>2410800</v>
      </c>
      <c r="K451" s="176"/>
      <c r="L451" s="159">
        <v>602700</v>
      </c>
      <c r="M451" s="159">
        <v>602700</v>
      </c>
      <c r="N451" s="159">
        <v>602700</v>
      </c>
      <c r="O451" s="159">
        <v>602700</v>
      </c>
      <c r="P451" s="140" t="s">
        <v>1018</v>
      </c>
    </row>
    <row r="452" spans="1:16" s="31" customFormat="1" ht="110.25">
      <c r="A452" s="171">
        <v>72</v>
      </c>
      <c r="B452" s="200" t="s">
        <v>36</v>
      </c>
      <c r="C452" s="270" t="s">
        <v>905</v>
      </c>
      <c r="D452" s="271" t="s">
        <v>46</v>
      </c>
      <c r="E452" s="271" t="s">
        <v>906</v>
      </c>
      <c r="F452" s="171">
        <v>2012</v>
      </c>
      <c r="G452" s="171">
        <v>2016</v>
      </c>
      <c r="H452" s="176">
        <v>12500000</v>
      </c>
      <c r="I452" s="176"/>
      <c r="J452" s="176"/>
      <c r="K452" s="171"/>
      <c r="L452" s="171"/>
      <c r="M452" s="171"/>
      <c r="N452" s="171"/>
      <c r="O452" s="171"/>
      <c r="P452" s="140" t="s">
        <v>1019</v>
      </c>
    </row>
    <row r="453" spans="1:16" s="31" customFormat="1" ht="78.75">
      <c r="A453" s="171">
        <v>73</v>
      </c>
      <c r="B453" s="200" t="s">
        <v>36</v>
      </c>
      <c r="C453" s="186" t="s">
        <v>907</v>
      </c>
      <c r="D453" s="172" t="s">
        <v>809</v>
      </c>
      <c r="E453" s="172" t="s">
        <v>908</v>
      </c>
      <c r="F453" s="171">
        <v>2015</v>
      </c>
      <c r="G453" s="171">
        <v>2023</v>
      </c>
      <c r="H453" s="176">
        <v>5040000</v>
      </c>
      <c r="I453" s="176"/>
      <c r="J453" s="176">
        <v>604800</v>
      </c>
      <c r="K453" s="171"/>
      <c r="L453" s="176">
        <v>151200</v>
      </c>
      <c r="M453" s="176">
        <v>151200</v>
      </c>
      <c r="N453" s="176">
        <v>151200</v>
      </c>
      <c r="O453" s="176">
        <v>151200</v>
      </c>
      <c r="P453" s="140" t="s">
        <v>1020</v>
      </c>
    </row>
    <row r="454" spans="1:16" s="31" customFormat="1" ht="15.75">
      <c r="A454" s="171">
        <v>74</v>
      </c>
      <c r="B454" s="200" t="s">
        <v>36</v>
      </c>
      <c r="C454" s="270" t="s">
        <v>909</v>
      </c>
      <c r="D454" s="271" t="s">
        <v>821</v>
      </c>
      <c r="E454" s="271" t="s">
        <v>910</v>
      </c>
      <c r="F454" s="171">
        <v>2013</v>
      </c>
      <c r="G454" s="171">
        <v>2019</v>
      </c>
      <c r="H454" s="176">
        <v>10500000</v>
      </c>
      <c r="I454" s="176"/>
      <c r="J454" s="176"/>
      <c r="K454" s="171"/>
      <c r="L454" s="176"/>
      <c r="M454" s="176"/>
      <c r="N454" s="176"/>
      <c r="O454" s="176"/>
      <c r="P454" s="140" t="s">
        <v>714</v>
      </c>
    </row>
    <row r="455" spans="1:16" s="31" customFormat="1" ht="78.75">
      <c r="A455" s="171">
        <v>75</v>
      </c>
      <c r="B455" s="200" t="s">
        <v>36</v>
      </c>
      <c r="C455" s="186" t="s">
        <v>907</v>
      </c>
      <c r="D455" s="172" t="s">
        <v>809</v>
      </c>
      <c r="E455" s="172" t="s">
        <v>911</v>
      </c>
      <c r="F455" s="171">
        <v>2015</v>
      </c>
      <c r="G455" s="171">
        <v>2023</v>
      </c>
      <c r="H455" s="176">
        <v>5040000</v>
      </c>
      <c r="I455" s="176"/>
      <c r="J455" s="176">
        <v>604800</v>
      </c>
      <c r="K455" s="171"/>
      <c r="L455" s="176">
        <v>151200</v>
      </c>
      <c r="M455" s="176">
        <v>151200</v>
      </c>
      <c r="N455" s="176">
        <v>151200</v>
      </c>
      <c r="O455" s="176">
        <v>151200</v>
      </c>
      <c r="P455" s="140" t="s">
        <v>1020</v>
      </c>
    </row>
    <row r="456" spans="1:16" s="31" customFormat="1" ht="23.25" customHeight="1">
      <c r="A456" s="171">
        <v>76</v>
      </c>
      <c r="B456" s="200" t="s">
        <v>36</v>
      </c>
      <c r="C456" s="186" t="s">
        <v>912</v>
      </c>
      <c r="D456" s="172" t="s">
        <v>823</v>
      </c>
      <c r="E456" s="172" t="s">
        <v>908</v>
      </c>
      <c r="F456" s="171">
        <v>2015</v>
      </c>
      <c r="G456" s="171">
        <v>2023</v>
      </c>
      <c r="H456" s="176">
        <v>10860000</v>
      </c>
      <c r="I456" s="176"/>
      <c r="J456" s="176">
        <v>1303200</v>
      </c>
      <c r="K456" s="171"/>
      <c r="L456" s="176">
        <v>325800</v>
      </c>
      <c r="M456" s="176">
        <v>325800</v>
      </c>
      <c r="N456" s="176">
        <v>325800</v>
      </c>
      <c r="O456" s="176">
        <v>325800</v>
      </c>
      <c r="P456" s="140" t="s">
        <v>714</v>
      </c>
    </row>
    <row r="457" spans="1:16" s="31" customFormat="1" ht="23.25" customHeight="1">
      <c r="A457" s="171">
        <v>77</v>
      </c>
      <c r="B457" s="200" t="s">
        <v>36</v>
      </c>
      <c r="C457" s="186" t="s">
        <v>912</v>
      </c>
      <c r="D457" s="172" t="s">
        <v>823</v>
      </c>
      <c r="E457" s="172" t="s">
        <v>911</v>
      </c>
      <c r="F457" s="171">
        <v>2015</v>
      </c>
      <c r="G457" s="171">
        <v>2023</v>
      </c>
      <c r="H457" s="176">
        <v>10860000</v>
      </c>
      <c r="I457" s="176"/>
      <c r="J457" s="176">
        <v>1303200</v>
      </c>
      <c r="K457" s="171"/>
      <c r="L457" s="176">
        <v>325800</v>
      </c>
      <c r="M457" s="176">
        <v>325800</v>
      </c>
      <c r="N457" s="176">
        <v>325800</v>
      </c>
      <c r="O457" s="176">
        <v>325800</v>
      </c>
      <c r="P457" s="140" t="s">
        <v>714</v>
      </c>
    </row>
    <row r="458" spans="1:16" s="31" customFormat="1" ht="23.25" customHeight="1">
      <c r="A458" s="171">
        <v>78</v>
      </c>
      <c r="B458" s="200" t="s">
        <v>36</v>
      </c>
      <c r="C458" s="186" t="s">
        <v>913</v>
      </c>
      <c r="D458" s="172" t="s">
        <v>823</v>
      </c>
      <c r="E458" s="172" t="s">
        <v>914</v>
      </c>
      <c r="F458" s="272">
        <v>2017</v>
      </c>
      <c r="G458" s="272">
        <v>2023</v>
      </c>
      <c r="H458" s="176">
        <v>16000000</v>
      </c>
      <c r="I458" s="176"/>
      <c r="J458" s="176">
        <v>1920000</v>
      </c>
      <c r="K458" s="171"/>
      <c r="L458" s="176">
        <v>480000</v>
      </c>
      <c r="M458" s="176">
        <v>480000</v>
      </c>
      <c r="N458" s="176">
        <v>480000</v>
      </c>
      <c r="O458" s="176">
        <v>480000</v>
      </c>
      <c r="P458" s="140" t="s">
        <v>714</v>
      </c>
    </row>
    <row r="459" spans="1:16" s="31" customFormat="1" ht="23.25" customHeight="1">
      <c r="A459" s="171">
        <v>79</v>
      </c>
      <c r="B459" s="200" t="s">
        <v>36</v>
      </c>
      <c r="C459" s="186" t="s">
        <v>915</v>
      </c>
      <c r="D459" s="172" t="s">
        <v>823</v>
      </c>
      <c r="E459" s="172" t="s">
        <v>916</v>
      </c>
      <c r="F459" s="272">
        <v>2018</v>
      </c>
      <c r="G459" s="272">
        <v>2023</v>
      </c>
      <c r="H459" s="176">
        <v>16000000</v>
      </c>
      <c r="I459" s="176"/>
      <c r="J459" s="176">
        <v>1920000</v>
      </c>
      <c r="K459" s="171"/>
      <c r="L459" s="176">
        <v>480000</v>
      </c>
      <c r="M459" s="176">
        <v>480000</v>
      </c>
      <c r="N459" s="176">
        <v>480000</v>
      </c>
      <c r="O459" s="176">
        <v>480000</v>
      </c>
      <c r="P459" s="140" t="s">
        <v>714</v>
      </c>
    </row>
    <row r="460" spans="1:16" s="31" customFormat="1" ht="23.25" customHeight="1">
      <c r="A460" s="171">
        <v>80</v>
      </c>
      <c r="B460" s="200" t="s">
        <v>36</v>
      </c>
      <c r="C460" s="270" t="s">
        <v>917</v>
      </c>
      <c r="D460" s="271" t="s">
        <v>918</v>
      </c>
      <c r="E460" s="271" t="s">
        <v>919</v>
      </c>
      <c r="F460" s="171">
        <v>2014</v>
      </c>
      <c r="G460" s="272">
        <v>2023</v>
      </c>
      <c r="H460" s="176">
        <v>16000000</v>
      </c>
      <c r="I460" s="176"/>
      <c r="J460" s="176">
        <v>1920000</v>
      </c>
      <c r="K460" s="171"/>
      <c r="L460" s="176">
        <v>480000</v>
      </c>
      <c r="M460" s="176">
        <v>480000</v>
      </c>
      <c r="N460" s="176">
        <v>480000</v>
      </c>
      <c r="O460" s="176">
        <v>480000</v>
      </c>
      <c r="P460" s="140" t="s">
        <v>714</v>
      </c>
    </row>
    <row r="461" spans="1:16" s="31" customFormat="1" ht="23.25" customHeight="1">
      <c r="A461" s="171">
        <v>81</v>
      </c>
      <c r="B461" s="200" t="s">
        <v>36</v>
      </c>
      <c r="C461" s="273" t="s">
        <v>920</v>
      </c>
      <c r="D461" s="277" t="s">
        <v>836</v>
      </c>
      <c r="E461" s="274" t="s">
        <v>921</v>
      </c>
      <c r="F461" s="171">
        <v>2016</v>
      </c>
      <c r="G461" s="272">
        <v>2023</v>
      </c>
      <c r="H461" s="176">
        <v>11000000</v>
      </c>
      <c r="I461" s="176"/>
      <c r="J461" s="176">
        <v>320000</v>
      </c>
      <c r="K461" s="171"/>
      <c r="L461" s="176">
        <v>80000</v>
      </c>
      <c r="M461" s="176">
        <v>80000</v>
      </c>
      <c r="N461" s="176">
        <v>80000</v>
      </c>
      <c r="O461" s="176">
        <v>80000</v>
      </c>
      <c r="P461" s="140" t="s">
        <v>714</v>
      </c>
    </row>
    <row r="462" spans="1:16" s="31" customFormat="1" ht="23.25" customHeight="1">
      <c r="A462" s="171">
        <v>82</v>
      </c>
      <c r="B462" s="200" t="s">
        <v>36</v>
      </c>
      <c r="C462" s="186" t="s">
        <v>922</v>
      </c>
      <c r="D462" s="172" t="s">
        <v>836</v>
      </c>
      <c r="E462" s="172" t="s">
        <v>916</v>
      </c>
      <c r="F462" s="171">
        <v>2015</v>
      </c>
      <c r="G462" s="272">
        <v>2023</v>
      </c>
      <c r="H462" s="176">
        <v>16000000</v>
      </c>
      <c r="I462" s="176"/>
      <c r="J462" s="176">
        <v>1920000</v>
      </c>
      <c r="K462" s="171"/>
      <c r="L462" s="176">
        <v>480000</v>
      </c>
      <c r="M462" s="176">
        <v>480000</v>
      </c>
      <c r="N462" s="176">
        <v>480000</v>
      </c>
      <c r="O462" s="176">
        <v>480000</v>
      </c>
      <c r="P462" s="140" t="s">
        <v>714</v>
      </c>
    </row>
    <row r="463" spans="1:16" s="31" customFormat="1" ht="23.25" customHeight="1">
      <c r="A463" s="171">
        <v>83</v>
      </c>
      <c r="B463" s="200" t="s">
        <v>36</v>
      </c>
      <c r="C463" s="186" t="s">
        <v>922</v>
      </c>
      <c r="D463" s="172" t="s">
        <v>830</v>
      </c>
      <c r="E463" s="172" t="s">
        <v>923</v>
      </c>
      <c r="F463" s="171">
        <v>2015</v>
      </c>
      <c r="G463" s="272">
        <v>2023</v>
      </c>
      <c r="H463" s="176">
        <v>28000000</v>
      </c>
      <c r="I463" s="176"/>
      <c r="J463" s="176">
        <v>3360000</v>
      </c>
      <c r="K463" s="171"/>
      <c r="L463" s="176">
        <v>840000</v>
      </c>
      <c r="M463" s="176">
        <v>840000</v>
      </c>
      <c r="N463" s="176">
        <v>840000</v>
      </c>
      <c r="O463" s="176">
        <v>840000</v>
      </c>
      <c r="P463" s="140" t="s">
        <v>714</v>
      </c>
    </row>
    <row r="464" spans="1:16" s="31" customFormat="1" ht="23.25" customHeight="1">
      <c r="A464" s="171">
        <v>84</v>
      </c>
      <c r="B464" s="200" t="s">
        <v>36</v>
      </c>
      <c r="C464" s="186" t="s">
        <v>924</v>
      </c>
      <c r="D464" s="172" t="s">
        <v>830</v>
      </c>
      <c r="E464" s="172" t="s">
        <v>916</v>
      </c>
      <c r="F464" s="171">
        <v>2015</v>
      </c>
      <c r="G464" s="272">
        <v>2023</v>
      </c>
      <c r="H464" s="176">
        <v>16000000</v>
      </c>
      <c r="I464" s="176"/>
      <c r="J464" s="176">
        <v>1920000</v>
      </c>
      <c r="K464" s="171"/>
      <c r="L464" s="176">
        <v>480000</v>
      </c>
      <c r="M464" s="176">
        <v>480000</v>
      </c>
      <c r="N464" s="176">
        <v>480000</v>
      </c>
      <c r="O464" s="176">
        <v>480000</v>
      </c>
      <c r="P464" s="140" t="s">
        <v>714</v>
      </c>
    </row>
    <row r="465" spans="1:16" s="31" customFormat="1" ht="23.25" customHeight="1">
      <c r="A465" s="171">
        <v>85</v>
      </c>
      <c r="B465" s="200" t="s">
        <v>36</v>
      </c>
      <c r="C465" s="186" t="s">
        <v>913</v>
      </c>
      <c r="D465" s="172" t="s">
        <v>830</v>
      </c>
      <c r="E465" s="172" t="s">
        <v>925</v>
      </c>
      <c r="F465" s="171">
        <v>2015</v>
      </c>
      <c r="G465" s="272">
        <v>2023</v>
      </c>
      <c r="H465" s="176">
        <v>26000000</v>
      </c>
      <c r="I465" s="176"/>
      <c r="J465" s="176">
        <v>3120000</v>
      </c>
      <c r="K465" s="171"/>
      <c r="L465" s="176">
        <v>780000</v>
      </c>
      <c r="M465" s="176">
        <v>780000</v>
      </c>
      <c r="N465" s="176">
        <v>780000</v>
      </c>
      <c r="O465" s="176">
        <v>780000</v>
      </c>
      <c r="P465" s="140" t="s">
        <v>714</v>
      </c>
    </row>
    <row r="466" spans="1:16" s="31" customFormat="1" ht="23.25" customHeight="1">
      <c r="A466" s="171">
        <v>86</v>
      </c>
      <c r="B466" s="200" t="s">
        <v>36</v>
      </c>
      <c r="C466" s="186" t="s">
        <v>926</v>
      </c>
      <c r="D466" s="172" t="s">
        <v>830</v>
      </c>
      <c r="E466" s="172" t="s">
        <v>927</v>
      </c>
      <c r="F466" s="171">
        <v>2015</v>
      </c>
      <c r="G466" s="272">
        <v>2023</v>
      </c>
      <c r="H466" s="176">
        <v>18000000</v>
      </c>
      <c r="I466" s="176"/>
      <c r="J466" s="176">
        <v>2160000</v>
      </c>
      <c r="K466" s="171"/>
      <c r="L466" s="176">
        <v>540000</v>
      </c>
      <c r="M466" s="176">
        <v>540000</v>
      </c>
      <c r="N466" s="176">
        <v>540000</v>
      </c>
      <c r="O466" s="176">
        <v>540000</v>
      </c>
      <c r="P466" s="140" t="s">
        <v>714</v>
      </c>
    </row>
    <row r="467" spans="1:16" s="31" customFormat="1" ht="23.25" customHeight="1">
      <c r="A467" s="171">
        <v>87</v>
      </c>
      <c r="B467" s="200" t="s">
        <v>36</v>
      </c>
      <c r="C467" s="186" t="s">
        <v>913</v>
      </c>
      <c r="D467" s="277" t="s">
        <v>830</v>
      </c>
      <c r="E467" s="260" t="s">
        <v>906</v>
      </c>
      <c r="F467" s="171">
        <v>2016</v>
      </c>
      <c r="G467" s="272">
        <v>2023</v>
      </c>
      <c r="H467" s="176">
        <v>22000000</v>
      </c>
      <c r="I467" s="176"/>
      <c r="J467" s="176">
        <v>2640000</v>
      </c>
      <c r="K467" s="171"/>
      <c r="L467" s="176">
        <v>660000</v>
      </c>
      <c r="M467" s="176">
        <v>660000</v>
      </c>
      <c r="N467" s="176">
        <v>660000</v>
      </c>
      <c r="O467" s="176">
        <v>660000</v>
      </c>
      <c r="P467" s="140" t="s">
        <v>714</v>
      </c>
    </row>
    <row r="468" spans="1:16" s="31" customFormat="1" ht="23.25" customHeight="1">
      <c r="A468" s="171">
        <v>88</v>
      </c>
      <c r="B468" s="200" t="s">
        <v>36</v>
      </c>
      <c r="C468" s="186" t="s">
        <v>928</v>
      </c>
      <c r="D468" s="277" t="s">
        <v>830</v>
      </c>
      <c r="E468" s="260" t="s">
        <v>929</v>
      </c>
      <c r="F468" s="171">
        <v>2016</v>
      </c>
      <c r="G468" s="272">
        <v>2023</v>
      </c>
      <c r="H468" s="176">
        <v>16000000</v>
      </c>
      <c r="I468" s="176"/>
      <c r="J468" s="176">
        <v>1920000</v>
      </c>
      <c r="K468" s="171"/>
      <c r="L468" s="176">
        <v>480000</v>
      </c>
      <c r="M468" s="176">
        <v>480000</v>
      </c>
      <c r="N468" s="176">
        <v>480000</v>
      </c>
      <c r="O468" s="176">
        <v>480000</v>
      </c>
      <c r="P468" s="140" t="s">
        <v>714</v>
      </c>
    </row>
    <row r="469" spans="1:16" s="31" customFormat="1" ht="31.5">
      <c r="A469" s="171">
        <v>89</v>
      </c>
      <c r="B469" s="200" t="s">
        <v>36</v>
      </c>
      <c r="C469" s="270" t="s">
        <v>930</v>
      </c>
      <c r="D469" s="271" t="s">
        <v>931</v>
      </c>
      <c r="E469" s="271" t="s">
        <v>932</v>
      </c>
      <c r="F469" s="171">
        <v>2014</v>
      </c>
      <c r="G469" s="272">
        <v>2023</v>
      </c>
      <c r="H469" s="176">
        <v>27000000</v>
      </c>
      <c r="I469" s="176"/>
      <c r="J469" s="176">
        <v>3240000</v>
      </c>
      <c r="K469" s="171"/>
      <c r="L469" s="176">
        <v>810000</v>
      </c>
      <c r="M469" s="176">
        <v>810000</v>
      </c>
      <c r="N469" s="176">
        <v>810000</v>
      </c>
      <c r="O469" s="176">
        <v>810000</v>
      </c>
      <c r="P469" s="140" t="s">
        <v>714</v>
      </c>
    </row>
    <row r="470" spans="1:16" s="31" customFormat="1" ht="192" customHeight="1">
      <c r="A470" s="171">
        <v>90</v>
      </c>
      <c r="B470" s="200" t="s">
        <v>36</v>
      </c>
      <c r="C470" s="275" t="s">
        <v>933</v>
      </c>
      <c r="D470" s="271" t="s">
        <v>862</v>
      </c>
      <c r="E470" s="172" t="s">
        <v>908</v>
      </c>
      <c r="F470" s="171">
        <v>2015</v>
      </c>
      <c r="G470" s="272">
        <v>2023</v>
      </c>
      <c r="H470" s="176">
        <v>7200000</v>
      </c>
      <c r="I470" s="176"/>
      <c r="J470" s="176">
        <v>864000</v>
      </c>
      <c r="K470" s="171"/>
      <c r="L470" s="176">
        <v>216000</v>
      </c>
      <c r="M470" s="176">
        <v>216000</v>
      </c>
      <c r="N470" s="176">
        <v>216000</v>
      </c>
      <c r="O470" s="176">
        <v>216000</v>
      </c>
      <c r="P470" s="140" t="s">
        <v>1021</v>
      </c>
    </row>
    <row r="471" spans="1:16" s="31" customFormat="1" ht="30" customHeight="1">
      <c r="A471" s="171">
        <v>91</v>
      </c>
      <c r="B471" s="200" t="s">
        <v>36</v>
      </c>
      <c r="C471" s="270" t="s">
        <v>934</v>
      </c>
      <c r="D471" s="271" t="s">
        <v>862</v>
      </c>
      <c r="E471" s="271" t="s">
        <v>935</v>
      </c>
      <c r="F471" s="171">
        <v>2014</v>
      </c>
      <c r="G471" s="272">
        <v>2023</v>
      </c>
      <c r="H471" s="176">
        <v>24000000</v>
      </c>
      <c r="I471" s="176"/>
      <c r="J471" s="176">
        <v>2880000</v>
      </c>
      <c r="K471" s="171"/>
      <c r="L471" s="176">
        <v>720000</v>
      </c>
      <c r="M471" s="176">
        <v>720000</v>
      </c>
      <c r="N471" s="176">
        <v>720000</v>
      </c>
      <c r="O471" s="176">
        <v>720000</v>
      </c>
      <c r="P471" s="140" t="s">
        <v>714</v>
      </c>
    </row>
    <row r="472" spans="1:16" s="31" customFormat="1" ht="82.5" customHeight="1">
      <c r="A472" s="171">
        <v>92</v>
      </c>
      <c r="B472" s="200" t="s">
        <v>36</v>
      </c>
      <c r="C472" s="186" t="s">
        <v>907</v>
      </c>
      <c r="D472" s="172" t="s">
        <v>809</v>
      </c>
      <c r="E472" s="172" t="s">
        <v>911</v>
      </c>
      <c r="F472" s="171">
        <v>2015</v>
      </c>
      <c r="G472" s="272">
        <v>2023</v>
      </c>
      <c r="H472" s="176">
        <v>5040000</v>
      </c>
      <c r="I472" s="176"/>
      <c r="J472" s="176">
        <v>604800</v>
      </c>
      <c r="K472" s="171"/>
      <c r="L472" s="176">
        <v>151200</v>
      </c>
      <c r="M472" s="176">
        <v>151200</v>
      </c>
      <c r="N472" s="176">
        <v>151200</v>
      </c>
      <c r="O472" s="176">
        <v>151200</v>
      </c>
      <c r="P472" s="140" t="s">
        <v>1020</v>
      </c>
    </row>
    <row r="473" spans="1:16" s="31" customFormat="1" ht="409.5">
      <c r="A473" s="171">
        <v>93</v>
      </c>
      <c r="B473" s="200" t="s">
        <v>36</v>
      </c>
      <c r="C473" s="186" t="s">
        <v>936</v>
      </c>
      <c r="D473" s="172" t="s">
        <v>862</v>
      </c>
      <c r="E473" s="172" t="s">
        <v>937</v>
      </c>
      <c r="F473" s="272">
        <v>2017</v>
      </c>
      <c r="G473" s="272">
        <v>2023</v>
      </c>
      <c r="H473" s="176">
        <v>9000000</v>
      </c>
      <c r="I473" s="176"/>
      <c r="J473" s="176">
        <v>580000</v>
      </c>
      <c r="K473" s="171"/>
      <c r="L473" s="176">
        <v>145000</v>
      </c>
      <c r="M473" s="176">
        <v>145000</v>
      </c>
      <c r="N473" s="176">
        <v>145000</v>
      </c>
      <c r="O473" s="176">
        <v>145000</v>
      </c>
      <c r="P473" s="140" t="s">
        <v>1022</v>
      </c>
    </row>
    <row r="474" spans="1:16" s="31" customFormat="1" ht="236.25">
      <c r="A474" s="171">
        <v>94</v>
      </c>
      <c r="B474" s="200" t="s">
        <v>36</v>
      </c>
      <c r="C474" s="186" t="s">
        <v>938</v>
      </c>
      <c r="D474" s="172" t="s">
        <v>47</v>
      </c>
      <c r="E474" s="172" t="s">
        <v>939</v>
      </c>
      <c r="F474" s="171">
        <v>2015</v>
      </c>
      <c r="G474" s="272">
        <v>2023</v>
      </c>
      <c r="H474" s="176">
        <v>15000000</v>
      </c>
      <c r="I474" s="176"/>
      <c r="J474" s="176">
        <v>1800000</v>
      </c>
      <c r="K474" s="171"/>
      <c r="L474" s="176">
        <v>450000</v>
      </c>
      <c r="M474" s="176">
        <v>450000</v>
      </c>
      <c r="N474" s="176">
        <v>450000</v>
      </c>
      <c r="O474" s="176">
        <v>450000</v>
      </c>
      <c r="P474" s="140" t="s">
        <v>1023</v>
      </c>
    </row>
    <row r="475" spans="1:16" s="31" customFormat="1" ht="236.25">
      <c r="A475" s="171">
        <v>95</v>
      </c>
      <c r="B475" s="200" t="s">
        <v>36</v>
      </c>
      <c r="C475" s="273" t="s">
        <v>913</v>
      </c>
      <c r="D475" s="274" t="s">
        <v>879</v>
      </c>
      <c r="E475" s="274" t="s">
        <v>940</v>
      </c>
      <c r="F475" s="171">
        <v>2016</v>
      </c>
      <c r="G475" s="272">
        <v>2023</v>
      </c>
      <c r="H475" s="176">
        <v>34000000</v>
      </c>
      <c r="I475" s="176"/>
      <c r="J475" s="176">
        <v>4080000</v>
      </c>
      <c r="K475" s="171"/>
      <c r="L475" s="176">
        <v>1020000</v>
      </c>
      <c r="M475" s="176">
        <v>1020000</v>
      </c>
      <c r="N475" s="176">
        <v>1020000</v>
      </c>
      <c r="O475" s="176">
        <v>1020000</v>
      </c>
      <c r="P475" s="140" t="s">
        <v>1024</v>
      </c>
    </row>
    <row r="476" spans="1:16" s="31" customFormat="1" ht="236.25">
      <c r="A476" s="171">
        <v>96</v>
      </c>
      <c r="B476" s="200" t="s">
        <v>36</v>
      </c>
      <c r="C476" s="270" t="s">
        <v>912</v>
      </c>
      <c r="D476" s="271" t="s">
        <v>879</v>
      </c>
      <c r="E476" s="271" t="s">
        <v>941</v>
      </c>
      <c r="F476" s="272">
        <v>2017</v>
      </c>
      <c r="G476" s="272">
        <v>2023</v>
      </c>
      <c r="H476" s="176">
        <v>24000000</v>
      </c>
      <c r="I476" s="176"/>
      <c r="J476" s="176">
        <v>2880000</v>
      </c>
      <c r="K476" s="171"/>
      <c r="L476" s="176">
        <v>720000</v>
      </c>
      <c r="M476" s="176">
        <v>720000</v>
      </c>
      <c r="N476" s="176">
        <v>720000</v>
      </c>
      <c r="O476" s="176">
        <v>720000</v>
      </c>
      <c r="P476" s="140" t="s">
        <v>1025</v>
      </c>
    </row>
    <row r="477" spans="1:16" s="31" customFormat="1" ht="15.75">
      <c r="A477" s="171">
        <v>97</v>
      </c>
      <c r="B477" s="200" t="s">
        <v>36</v>
      </c>
      <c r="C477" s="270" t="s">
        <v>942</v>
      </c>
      <c r="D477" s="271" t="s">
        <v>943</v>
      </c>
      <c r="E477" s="271" t="s">
        <v>944</v>
      </c>
      <c r="F477" s="171">
        <v>2014</v>
      </c>
      <c r="G477" s="272">
        <v>2023</v>
      </c>
      <c r="H477" s="176">
        <v>9000000</v>
      </c>
      <c r="I477" s="176"/>
      <c r="J477" s="176">
        <v>1080000</v>
      </c>
      <c r="K477" s="171"/>
      <c r="L477" s="176">
        <v>270000</v>
      </c>
      <c r="M477" s="176">
        <v>270000</v>
      </c>
      <c r="N477" s="176">
        <v>270000</v>
      </c>
      <c r="O477" s="176">
        <v>270000</v>
      </c>
      <c r="P477" s="140" t="s">
        <v>714</v>
      </c>
    </row>
    <row r="478" spans="1:16" s="31" customFormat="1" ht="63">
      <c r="A478" s="171">
        <v>98</v>
      </c>
      <c r="B478" s="200" t="s">
        <v>36</v>
      </c>
      <c r="C478" s="186" t="s">
        <v>945</v>
      </c>
      <c r="D478" s="277" t="s">
        <v>809</v>
      </c>
      <c r="E478" s="274" t="s">
        <v>946</v>
      </c>
      <c r="F478" s="171">
        <v>2016</v>
      </c>
      <c r="G478" s="272">
        <v>2023</v>
      </c>
      <c r="H478" s="176">
        <v>25200000</v>
      </c>
      <c r="I478" s="176"/>
      <c r="J478" s="176">
        <v>3024000</v>
      </c>
      <c r="K478" s="171"/>
      <c r="L478" s="176">
        <v>756000</v>
      </c>
      <c r="M478" s="176">
        <v>756000</v>
      </c>
      <c r="N478" s="176">
        <v>756000</v>
      </c>
      <c r="O478" s="176">
        <v>756000</v>
      </c>
      <c r="P478" s="140" t="s">
        <v>1026</v>
      </c>
    </row>
    <row r="479" spans="1:16" s="31" customFormat="1" ht="283.5">
      <c r="A479" s="171">
        <v>99</v>
      </c>
      <c r="B479" s="200" t="s">
        <v>36</v>
      </c>
      <c r="C479" s="270" t="s">
        <v>947</v>
      </c>
      <c r="D479" s="271" t="s">
        <v>809</v>
      </c>
      <c r="E479" s="271" t="s">
        <v>948</v>
      </c>
      <c r="F479" s="171">
        <v>2013</v>
      </c>
      <c r="G479" s="272">
        <v>2019</v>
      </c>
      <c r="H479" s="176">
        <v>4000000</v>
      </c>
      <c r="I479" s="176"/>
      <c r="J479" s="176"/>
      <c r="K479" s="171"/>
      <c r="L479" s="176"/>
      <c r="M479" s="176"/>
      <c r="N479" s="176"/>
      <c r="O479" s="176"/>
      <c r="P479" s="140" t="s">
        <v>1027</v>
      </c>
    </row>
    <row r="480" spans="1:16" s="31" customFormat="1" ht="27.75" customHeight="1">
      <c r="A480" s="171">
        <v>100</v>
      </c>
      <c r="B480" s="200" t="s">
        <v>36</v>
      </c>
      <c r="C480" s="275" t="s">
        <v>949</v>
      </c>
      <c r="D480" s="172" t="s">
        <v>32</v>
      </c>
      <c r="E480" s="172" t="s">
        <v>950</v>
      </c>
      <c r="F480" s="171">
        <v>2015</v>
      </c>
      <c r="G480" s="272">
        <v>2023</v>
      </c>
      <c r="H480" s="176">
        <v>5400000</v>
      </c>
      <c r="I480" s="176"/>
      <c r="J480" s="176">
        <v>648000</v>
      </c>
      <c r="K480" s="171"/>
      <c r="L480" s="176">
        <v>162000</v>
      </c>
      <c r="M480" s="176">
        <v>162000</v>
      </c>
      <c r="N480" s="176">
        <v>162000</v>
      </c>
      <c r="O480" s="176">
        <v>162000</v>
      </c>
      <c r="P480" s="140" t="s">
        <v>714</v>
      </c>
    </row>
    <row r="481" spans="1:16" s="31" customFormat="1" ht="141.75">
      <c r="A481" s="171">
        <v>101</v>
      </c>
      <c r="B481" s="200" t="s">
        <v>36</v>
      </c>
      <c r="C481" s="275" t="s">
        <v>951</v>
      </c>
      <c r="D481" s="172" t="s">
        <v>32</v>
      </c>
      <c r="E481" s="172" t="s">
        <v>952</v>
      </c>
      <c r="F481" s="171">
        <v>2018</v>
      </c>
      <c r="G481" s="272">
        <v>2023</v>
      </c>
      <c r="H481" s="176">
        <v>9000000</v>
      </c>
      <c r="I481" s="176"/>
      <c r="J481" s="176">
        <v>1080000</v>
      </c>
      <c r="K481" s="171"/>
      <c r="L481" s="176">
        <v>270000</v>
      </c>
      <c r="M481" s="176">
        <v>270000</v>
      </c>
      <c r="N481" s="176">
        <v>270000</v>
      </c>
      <c r="O481" s="176">
        <v>270000</v>
      </c>
      <c r="P481" s="140" t="s">
        <v>1028</v>
      </c>
    </row>
    <row r="482" spans="1:16" s="31" customFormat="1" ht="31.5">
      <c r="A482" s="171">
        <v>102</v>
      </c>
      <c r="B482" s="200" t="s">
        <v>36</v>
      </c>
      <c r="C482" s="270" t="s">
        <v>953</v>
      </c>
      <c r="D482" s="271" t="s">
        <v>48</v>
      </c>
      <c r="E482" s="271" t="s">
        <v>954</v>
      </c>
      <c r="F482" s="171">
        <v>2013</v>
      </c>
      <c r="G482" s="272">
        <v>2019</v>
      </c>
      <c r="H482" s="176">
        <v>10500000</v>
      </c>
      <c r="I482" s="176"/>
      <c r="J482" s="176"/>
      <c r="K482" s="171"/>
      <c r="L482" s="176"/>
      <c r="M482" s="176"/>
      <c r="N482" s="176"/>
      <c r="O482" s="176"/>
      <c r="P482" s="140" t="s">
        <v>714</v>
      </c>
    </row>
    <row r="483" spans="1:16" s="31" customFormat="1" ht="34.5" customHeight="1">
      <c r="A483" s="171">
        <v>103</v>
      </c>
      <c r="B483" s="200" t="s">
        <v>36</v>
      </c>
      <c r="C483" s="270" t="s">
        <v>951</v>
      </c>
      <c r="D483" s="271" t="s">
        <v>48</v>
      </c>
      <c r="E483" s="271" t="s">
        <v>955</v>
      </c>
      <c r="F483" s="171">
        <v>2014</v>
      </c>
      <c r="G483" s="272">
        <v>2023</v>
      </c>
      <c r="H483" s="176">
        <v>10800000</v>
      </c>
      <c r="I483" s="176">
        <v>34813</v>
      </c>
      <c r="J483" s="176">
        <v>10765187</v>
      </c>
      <c r="K483" s="171"/>
      <c r="L483" s="176">
        <v>2691296.75</v>
      </c>
      <c r="M483" s="176">
        <v>2691296.75</v>
      </c>
      <c r="N483" s="176">
        <v>2691296.75</v>
      </c>
      <c r="O483" s="176">
        <v>2691296.75</v>
      </c>
      <c r="P483" s="140" t="s">
        <v>1029</v>
      </c>
    </row>
    <row r="484" spans="1:16" s="31" customFormat="1" ht="34.5" customHeight="1">
      <c r="A484" s="171">
        <v>104</v>
      </c>
      <c r="B484" s="200" t="s">
        <v>36</v>
      </c>
      <c r="C484" s="270" t="s">
        <v>956</v>
      </c>
      <c r="D484" s="271" t="s">
        <v>49</v>
      </c>
      <c r="E484" s="271" t="s">
        <v>929</v>
      </c>
      <c r="F484" s="171">
        <v>2010</v>
      </c>
      <c r="G484" s="272">
        <v>2023</v>
      </c>
      <c r="H484" s="176">
        <v>16800000</v>
      </c>
      <c r="I484" s="176"/>
      <c r="J484" s="176">
        <v>2016000</v>
      </c>
      <c r="K484" s="171"/>
      <c r="L484" s="176">
        <v>504000</v>
      </c>
      <c r="M484" s="176">
        <v>504000</v>
      </c>
      <c r="N484" s="176">
        <v>504000</v>
      </c>
      <c r="O484" s="176">
        <v>504000</v>
      </c>
      <c r="P484" s="140" t="s">
        <v>714</v>
      </c>
    </row>
    <row r="485" spans="1:16" s="31" customFormat="1" ht="34.5" customHeight="1">
      <c r="A485" s="171">
        <v>105</v>
      </c>
      <c r="B485" s="200" t="s">
        <v>36</v>
      </c>
      <c r="C485" s="270" t="s">
        <v>957</v>
      </c>
      <c r="D485" s="271" t="s">
        <v>49</v>
      </c>
      <c r="E485" s="271" t="s">
        <v>916</v>
      </c>
      <c r="F485" s="171">
        <v>2012</v>
      </c>
      <c r="G485" s="272">
        <v>2023</v>
      </c>
      <c r="H485" s="176">
        <v>16800000</v>
      </c>
      <c r="I485" s="176"/>
      <c r="J485" s="176">
        <v>2016000</v>
      </c>
      <c r="K485" s="171"/>
      <c r="L485" s="176">
        <v>504000</v>
      </c>
      <c r="M485" s="176">
        <v>504000</v>
      </c>
      <c r="N485" s="176">
        <v>504000</v>
      </c>
      <c r="O485" s="176">
        <v>504000</v>
      </c>
      <c r="P485" s="140" t="s">
        <v>714</v>
      </c>
    </row>
    <row r="486" spans="1:16" s="31" customFormat="1" ht="34.5" customHeight="1">
      <c r="A486" s="171">
        <v>106</v>
      </c>
      <c r="B486" s="200" t="s">
        <v>36</v>
      </c>
      <c r="C486" s="270" t="s">
        <v>958</v>
      </c>
      <c r="D486" s="271" t="s">
        <v>49</v>
      </c>
      <c r="E486" s="271" t="s">
        <v>959</v>
      </c>
      <c r="F486" s="171">
        <v>2014</v>
      </c>
      <c r="G486" s="272">
        <v>2023</v>
      </c>
      <c r="H486" s="176">
        <v>16547268</v>
      </c>
      <c r="I486" s="176">
        <v>3540</v>
      </c>
      <c r="J486" s="176">
        <v>16543728</v>
      </c>
      <c r="K486" s="171"/>
      <c r="L486" s="176">
        <v>4135932</v>
      </c>
      <c r="M486" s="176">
        <v>4135932</v>
      </c>
      <c r="N486" s="176">
        <v>4135932</v>
      </c>
      <c r="O486" s="176">
        <v>4135932</v>
      </c>
      <c r="P486" s="140" t="s">
        <v>714</v>
      </c>
    </row>
    <row r="487" spans="1:16" s="31" customFormat="1" ht="34.5" customHeight="1">
      <c r="A487" s="171">
        <v>107</v>
      </c>
      <c r="B487" s="200" t="s">
        <v>36</v>
      </c>
      <c r="C487" s="270" t="s">
        <v>960</v>
      </c>
      <c r="D487" s="271" t="s">
        <v>49</v>
      </c>
      <c r="E487" s="271" t="s">
        <v>961</v>
      </c>
      <c r="F487" s="171">
        <v>2013</v>
      </c>
      <c r="G487" s="272">
        <v>2023</v>
      </c>
      <c r="H487" s="176">
        <v>30000000</v>
      </c>
      <c r="I487" s="176"/>
      <c r="J487" s="176">
        <v>3600000</v>
      </c>
      <c r="K487" s="171"/>
      <c r="L487" s="176">
        <v>900000</v>
      </c>
      <c r="M487" s="176">
        <v>900000</v>
      </c>
      <c r="N487" s="176">
        <v>900000</v>
      </c>
      <c r="O487" s="176">
        <v>900000</v>
      </c>
      <c r="P487" s="140" t="s">
        <v>714</v>
      </c>
    </row>
    <row r="488" spans="1:16" s="31" customFormat="1" ht="34.5" customHeight="1">
      <c r="A488" s="171">
        <v>108</v>
      </c>
      <c r="B488" s="200" t="s">
        <v>36</v>
      </c>
      <c r="C488" s="276" t="s">
        <v>962</v>
      </c>
      <c r="D488" s="277" t="s">
        <v>49</v>
      </c>
      <c r="E488" s="277" t="s">
        <v>911</v>
      </c>
      <c r="F488" s="171">
        <v>2016</v>
      </c>
      <c r="G488" s="272">
        <v>2023</v>
      </c>
      <c r="H488" s="176">
        <v>6600000</v>
      </c>
      <c r="I488" s="176"/>
      <c r="J488" s="176">
        <v>792000</v>
      </c>
      <c r="K488" s="171"/>
      <c r="L488" s="176">
        <v>198000</v>
      </c>
      <c r="M488" s="176">
        <v>198000</v>
      </c>
      <c r="N488" s="176">
        <v>198000</v>
      </c>
      <c r="O488" s="176">
        <v>198000</v>
      </c>
      <c r="P488" s="140" t="s">
        <v>714</v>
      </c>
    </row>
    <row r="489" spans="1:16" s="31" customFormat="1" ht="409.5">
      <c r="A489" s="171">
        <v>109</v>
      </c>
      <c r="B489" s="200" t="s">
        <v>36</v>
      </c>
      <c r="C489" s="270" t="s">
        <v>963</v>
      </c>
      <c r="D489" s="271" t="s">
        <v>819</v>
      </c>
      <c r="E489" s="271" t="s">
        <v>929</v>
      </c>
      <c r="F489" s="272">
        <v>2017</v>
      </c>
      <c r="G489" s="272">
        <v>2023</v>
      </c>
      <c r="H489" s="176">
        <v>16000000</v>
      </c>
      <c r="I489" s="176"/>
      <c r="J489" s="176">
        <v>1920000</v>
      </c>
      <c r="K489" s="171"/>
      <c r="L489" s="176">
        <v>480000</v>
      </c>
      <c r="M489" s="176">
        <v>480000</v>
      </c>
      <c r="N489" s="176">
        <v>480000</v>
      </c>
      <c r="O489" s="176">
        <v>480000</v>
      </c>
      <c r="P489" s="140" t="s">
        <v>1030</v>
      </c>
    </row>
    <row r="490" spans="1:16" s="31" customFormat="1" ht="28.5" customHeight="1">
      <c r="A490" s="171">
        <v>110</v>
      </c>
      <c r="B490" s="200" t="s">
        <v>36</v>
      </c>
      <c r="C490" s="270" t="s">
        <v>951</v>
      </c>
      <c r="D490" s="271" t="s">
        <v>819</v>
      </c>
      <c r="E490" s="271" t="s">
        <v>952</v>
      </c>
      <c r="F490" s="272">
        <v>2021</v>
      </c>
      <c r="G490" s="272">
        <v>2023</v>
      </c>
      <c r="H490" s="176">
        <v>9600000</v>
      </c>
      <c r="I490" s="176"/>
      <c r="J490" s="176">
        <v>960000</v>
      </c>
      <c r="K490" s="171"/>
      <c r="L490" s="176">
        <v>240000</v>
      </c>
      <c r="M490" s="176">
        <v>240000</v>
      </c>
      <c r="N490" s="176">
        <v>240000</v>
      </c>
      <c r="O490" s="176">
        <v>240000</v>
      </c>
      <c r="P490" s="140" t="s">
        <v>1031</v>
      </c>
    </row>
    <row r="491" spans="1:16" s="31" customFormat="1" ht="94.5">
      <c r="A491" s="171">
        <v>111</v>
      </c>
      <c r="B491" s="200" t="s">
        <v>36</v>
      </c>
      <c r="C491" s="186" t="s">
        <v>913</v>
      </c>
      <c r="D491" s="172" t="s">
        <v>819</v>
      </c>
      <c r="E491" s="172" t="s">
        <v>914</v>
      </c>
      <c r="F491" s="272">
        <v>2017</v>
      </c>
      <c r="G491" s="272">
        <v>2023</v>
      </c>
      <c r="H491" s="176">
        <v>16000000</v>
      </c>
      <c r="I491" s="176"/>
      <c r="J491" s="176">
        <v>8000000</v>
      </c>
      <c r="K491" s="171"/>
      <c r="L491" s="176">
        <v>2000000</v>
      </c>
      <c r="M491" s="176">
        <v>2000000</v>
      </c>
      <c r="N491" s="176">
        <v>2000000</v>
      </c>
      <c r="O491" s="176">
        <v>2000000</v>
      </c>
      <c r="P491" s="140" t="s">
        <v>1032</v>
      </c>
    </row>
    <row r="492" spans="1:16" s="31" customFormat="1" ht="47.25">
      <c r="A492" s="171">
        <v>112</v>
      </c>
      <c r="B492" s="200" t="s">
        <v>36</v>
      </c>
      <c r="C492" s="270" t="s">
        <v>945</v>
      </c>
      <c r="D492" s="271" t="s">
        <v>819</v>
      </c>
      <c r="E492" s="271" t="s">
        <v>964</v>
      </c>
      <c r="F492" s="272">
        <v>2017</v>
      </c>
      <c r="G492" s="272">
        <v>2019</v>
      </c>
      <c r="H492" s="176">
        <v>20000000</v>
      </c>
      <c r="I492" s="176"/>
      <c r="J492" s="176"/>
      <c r="K492" s="171"/>
      <c r="L492" s="176"/>
      <c r="M492" s="176"/>
      <c r="N492" s="176"/>
      <c r="O492" s="176"/>
      <c r="P492" s="140" t="s">
        <v>714</v>
      </c>
    </row>
    <row r="493" spans="1:16" s="31" customFormat="1" ht="393.75">
      <c r="A493" s="171">
        <v>113</v>
      </c>
      <c r="B493" s="200" t="s">
        <v>36</v>
      </c>
      <c r="C493" s="270" t="s">
        <v>965</v>
      </c>
      <c r="D493" s="271" t="s">
        <v>966</v>
      </c>
      <c r="E493" s="271" t="s">
        <v>967</v>
      </c>
      <c r="F493" s="171">
        <v>2014</v>
      </c>
      <c r="G493" s="272">
        <v>2023</v>
      </c>
      <c r="H493" s="176">
        <v>26920000</v>
      </c>
      <c r="I493" s="176"/>
      <c r="J493" s="176">
        <v>3230400</v>
      </c>
      <c r="K493" s="171"/>
      <c r="L493" s="176">
        <v>807600</v>
      </c>
      <c r="M493" s="176">
        <v>807600</v>
      </c>
      <c r="N493" s="176">
        <v>807600</v>
      </c>
      <c r="O493" s="176">
        <v>807600</v>
      </c>
      <c r="P493" s="140" t="s">
        <v>1033</v>
      </c>
    </row>
    <row r="494" spans="1:16" s="31" customFormat="1" ht="409.5">
      <c r="A494" s="171">
        <v>114</v>
      </c>
      <c r="B494" s="200" t="s">
        <v>36</v>
      </c>
      <c r="C494" s="186" t="s">
        <v>913</v>
      </c>
      <c r="D494" s="172" t="s">
        <v>966</v>
      </c>
      <c r="E494" s="172" t="s">
        <v>968</v>
      </c>
      <c r="F494" s="272">
        <v>2017</v>
      </c>
      <c r="G494" s="272">
        <v>2023</v>
      </c>
      <c r="H494" s="176">
        <v>25920000</v>
      </c>
      <c r="I494" s="176"/>
      <c r="J494" s="176">
        <v>3110400</v>
      </c>
      <c r="K494" s="171"/>
      <c r="L494" s="176">
        <v>777600</v>
      </c>
      <c r="M494" s="176">
        <v>777600</v>
      </c>
      <c r="N494" s="176">
        <v>777600</v>
      </c>
      <c r="O494" s="176">
        <v>777600</v>
      </c>
      <c r="P494" s="140" t="s">
        <v>1034</v>
      </c>
    </row>
    <row r="495" spans="1:16" s="31" customFormat="1" ht="330.75">
      <c r="A495" s="171">
        <v>115</v>
      </c>
      <c r="B495" s="200" t="s">
        <v>36</v>
      </c>
      <c r="C495" s="270" t="s">
        <v>957</v>
      </c>
      <c r="D495" s="271" t="s">
        <v>806</v>
      </c>
      <c r="E495" s="271" t="s">
        <v>916</v>
      </c>
      <c r="F495" s="171">
        <v>2014</v>
      </c>
      <c r="G495" s="272">
        <v>2023</v>
      </c>
      <c r="H495" s="176">
        <v>16000000</v>
      </c>
      <c r="I495" s="176"/>
      <c r="J495" s="176">
        <v>1920000</v>
      </c>
      <c r="K495" s="171"/>
      <c r="L495" s="176">
        <v>480000</v>
      </c>
      <c r="M495" s="176">
        <v>480000</v>
      </c>
      <c r="N495" s="176">
        <v>480000</v>
      </c>
      <c r="O495" s="176">
        <v>480000</v>
      </c>
      <c r="P495" s="140" t="s">
        <v>1035</v>
      </c>
    </row>
    <row r="496" spans="1:16" s="31" customFormat="1" ht="315">
      <c r="A496" s="171">
        <v>116</v>
      </c>
      <c r="B496" s="200" t="s">
        <v>36</v>
      </c>
      <c r="C496" s="186" t="s">
        <v>926</v>
      </c>
      <c r="D496" s="172" t="s">
        <v>50</v>
      </c>
      <c r="E496" s="172" t="s">
        <v>969</v>
      </c>
      <c r="F496" s="171">
        <v>2015</v>
      </c>
      <c r="G496" s="272">
        <v>2023</v>
      </c>
      <c r="H496" s="176">
        <v>7920000</v>
      </c>
      <c r="I496" s="176"/>
      <c r="J496" s="176">
        <v>950400</v>
      </c>
      <c r="K496" s="171"/>
      <c r="L496" s="176">
        <v>237600</v>
      </c>
      <c r="M496" s="176">
        <v>237600</v>
      </c>
      <c r="N496" s="176">
        <v>237600</v>
      </c>
      <c r="O496" s="176">
        <v>237600</v>
      </c>
      <c r="P496" s="140" t="s">
        <v>1036</v>
      </c>
    </row>
    <row r="497" spans="1:16" s="31" customFormat="1" ht="189">
      <c r="A497" s="171">
        <v>117</v>
      </c>
      <c r="B497" s="200" t="s">
        <v>36</v>
      </c>
      <c r="C497" s="218" t="s">
        <v>970</v>
      </c>
      <c r="D497" s="172" t="s">
        <v>50</v>
      </c>
      <c r="E497" s="271" t="s">
        <v>971</v>
      </c>
      <c r="F497" s="171">
        <v>2014</v>
      </c>
      <c r="G497" s="272">
        <v>2023</v>
      </c>
      <c r="H497" s="176">
        <v>10800000</v>
      </c>
      <c r="I497" s="176"/>
      <c r="J497" s="176">
        <v>1296000</v>
      </c>
      <c r="K497" s="171"/>
      <c r="L497" s="176">
        <v>324000</v>
      </c>
      <c r="M497" s="176">
        <v>324000</v>
      </c>
      <c r="N497" s="176">
        <v>324000</v>
      </c>
      <c r="O497" s="176">
        <v>324000</v>
      </c>
      <c r="P497" s="140" t="s">
        <v>1037</v>
      </c>
    </row>
    <row r="498" spans="1:16" s="31" customFormat="1" ht="173.25">
      <c r="A498" s="171">
        <v>118</v>
      </c>
      <c r="B498" s="200" t="s">
        <v>36</v>
      </c>
      <c r="C498" s="270" t="s">
        <v>972</v>
      </c>
      <c r="D498" s="271" t="s">
        <v>851</v>
      </c>
      <c r="E498" s="271" t="s">
        <v>973</v>
      </c>
      <c r="F498" s="171">
        <v>2014</v>
      </c>
      <c r="G498" s="272">
        <v>2023</v>
      </c>
      <c r="H498" s="176">
        <v>16000000</v>
      </c>
      <c r="I498" s="176"/>
      <c r="J498" s="176">
        <v>1920000</v>
      </c>
      <c r="K498" s="171"/>
      <c r="L498" s="176">
        <v>480000</v>
      </c>
      <c r="M498" s="176">
        <v>480000</v>
      </c>
      <c r="N498" s="176">
        <v>480000</v>
      </c>
      <c r="O498" s="176">
        <v>480000</v>
      </c>
      <c r="P498" s="140" t="s">
        <v>1038</v>
      </c>
    </row>
    <row r="499" spans="1:16" s="31" customFormat="1" ht="36.75" customHeight="1">
      <c r="A499" s="171">
        <v>119</v>
      </c>
      <c r="B499" s="200" t="s">
        <v>36</v>
      </c>
      <c r="C499" s="270" t="s">
        <v>974</v>
      </c>
      <c r="D499" s="271" t="s">
        <v>851</v>
      </c>
      <c r="E499" s="271" t="s">
        <v>975</v>
      </c>
      <c r="F499" s="171">
        <v>2014</v>
      </c>
      <c r="G499" s="272">
        <v>2023</v>
      </c>
      <c r="H499" s="176">
        <v>28000000</v>
      </c>
      <c r="I499" s="176"/>
      <c r="J499" s="176">
        <v>3360000</v>
      </c>
      <c r="K499" s="171"/>
      <c r="L499" s="176">
        <v>840000</v>
      </c>
      <c r="M499" s="176">
        <v>840000</v>
      </c>
      <c r="N499" s="176">
        <v>840000</v>
      </c>
      <c r="O499" s="176">
        <v>840000</v>
      </c>
      <c r="P499" s="140" t="s">
        <v>714</v>
      </c>
    </row>
    <row r="500" spans="1:16" s="31" customFormat="1" ht="36.75" customHeight="1">
      <c r="A500" s="171">
        <v>120</v>
      </c>
      <c r="B500" s="200" t="s">
        <v>36</v>
      </c>
      <c r="C500" s="186" t="s">
        <v>976</v>
      </c>
      <c r="D500" s="172" t="s">
        <v>46</v>
      </c>
      <c r="E500" s="172" t="s">
        <v>908</v>
      </c>
      <c r="F500" s="171">
        <v>2015</v>
      </c>
      <c r="G500" s="272">
        <v>2023</v>
      </c>
      <c r="H500" s="176">
        <v>5040000</v>
      </c>
      <c r="I500" s="176"/>
      <c r="J500" s="176">
        <v>604800</v>
      </c>
      <c r="K500" s="171"/>
      <c r="L500" s="176">
        <v>151200</v>
      </c>
      <c r="M500" s="176">
        <v>151200</v>
      </c>
      <c r="N500" s="176">
        <v>151200</v>
      </c>
      <c r="O500" s="176">
        <v>151200</v>
      </c>
      <c r="P500" s="140" t="s">
        <v>714</v>
      </c>
    </row>
    <row r="501" spans="1:16" s="31" customFormat="1" ht="36.75" customHeight="1">
      <c r="A501" s="171">
        <v>121</v>
      </c>
      <c r="B501" s="200" t="s">
        <v>36</v>
      </c>
      <c r="C501" s="270" t="s">
        <v>976</v>
      </c>
      <c r="D501" s="271" t="s">
        <v>46</v>
      </c>
      <c r="E501" s="271" t="s">
        <v>908</v>
      </c>
      <c r="F501" s="272">
        <v>2017</v>
      </c>
      <c r="G501" s="272">
        <v>2023</v>
      </c>
      <c r="H501" s="176">
        <v>3600000</v>
      </c>
      <c r="I501" s="176"/>
      <c r="J501" s="176">
        <v>432000</v>
      </c>
      <c r="K501" s="171"/>
      <c r="L501" s="176">
        <v>108000</v>
      </c>
      <c r="M501" s="176">
        <v>108000</v>
      </c>
      <c r="N501" s="176">
        <v>108000</v>
      </c>
      <c r="O501" s="176">
        <v>108000</v>
      </c>
      <c r="P501" s="140" t="s">
        <v>714</v>
      </c>
    </row>
    <row r="502" spans="1:16" s="31" customFormat="1" ht="236.25">
      <c r="A502" s="171">
        <v>122</v>
      </c>
      <c r="B502" s="200" t="s">
        <v>36</v>
      </c>
      <c r="C502" s="186" t="s">
        <v>977</v>
      </c>
      <c r="D502" s="172" t="s">
        <v>46</v>
      </c>
      <c r="E502" s="172" t="s">
        <v>978</v>
      </c>
      <c r="F502" s="171">
        <v>2015</v>
      </c>
      <c r="G502" s="272">
        <v>2023</v>
      </c>
      <c r="H502" s="176">
        <v>16000000</v>
      </c>
      <c r="I502" s="176"/>
      <c r="J502" s="176">
        <v>1920000</v>
      </c>
      <c r="K502" s="171"/>
      <c r="L502" s="176">
        <v>480000</v>
      </c>
      <c r="M502" s="176">
        <v>480000</v>
      </c>
      <c r="N502" s="176">
        <v>480000</v>
      </c>
      <c r="O502" s="176">
        <v>480000</v>
      </c>
      <c r="P502" s="140" t="s">
        <v>1039</v>
      </c>
    </row>
    <row r="503" spans="1:16" s="31" customFormat="1" ht="409.5">
      <c r="A503" s="171">
        <v>123</v>
      </c>
      <c r="B503" s="200" t="s">
        <v>36</v>
      </c>
      <c r="C503" s="186" t="s">
        <v>922</v>
      </c>
      <c r="D503" s="172" t="s">
        <v>51</v>
      </c>
      <c r="E503" s="172" t="s">
        <v>916</v>
      </c>
      <c r="F503" s="171">
        <v>2015</v>
      </c>
      <c r="G503" s="272">
        <v>2023</v>
      </c>
      <c r="H503" s="176">
        <v>16000000</v>
      </c>
      <c r="I503" s="176"/>
      <c r="J503" s="176">
        <v>1920000</v>
      </c>
      <c r="K503" s="171"/>
      <c r="L503" s="176">
        <v>480000</v>
      </c>
      <c r="M503" s="176">
        <v>480000</v>
      </c>
      <c r="N503" s="176">
        <v>480000</v>
      </c>
      <c r="O503" s="176">
        <v>480000</v>
      </c>
      <c r="P503" s="140" t="s">
        <v>1040</v>
      </c>
    </row>
    <row r="504" spans="1:16" s="31" customFormat="1" ht="409.5">
      <c r="A504" s="171">
        <v>124</v>
      </c>
      <c r="B504" s="200" t="s">
        <v>36</v>
      </c>
      <c r="C504" s="186" t="s">
        <v>926</v>
      </c>
      <c r="D504" s="172" t="s">
        <v>51</v>
      </c>
      <c r="E504" s="172" t="s">
        <v>979</v>
      </c>
      <c r="F504" s="171">
        <v>2015</v>
      </c>
      <c r="G504" s="272">
        <v>2023</v>
      </c>
      <c r="H504" s="176">
        <v>28000000</v>
      </c>
      <c r="I504" s="176"/>
      <c r="J504" s="176">
        <v>3360000</v>
      </c>
      <c r="K504" s="171"/>
      <c r="L504" s="176">
        <v>840000</v>
      </c>
      <c r="M504" s="176">
        <v>840000</v>
      </c>
      <c r="N504" s="176">
        <v>840000</v>
      </c>
      <c r="O504" s="176">
        <v>840000</v>
      </c>
      <c r="P504" s="140" t="s">
        <v>1041</v>
      </c>
    </row>
    <row r="505" spans="1:16" s="31" customFormat="1" ht="31.5">
      <c r="A505" s="171">
        <v>125</v>
      </c>
      <c r="B505" s="200" t="s">
        <v>36</v>
      </c>
      <c r="C505" s="186" t="s">
        <v>980</v>
      </c>
      <c r="D505" s="172" t="s">
        <v>37</v>
      </c>
      <c r="E505" s="172" t="s">
        <v>981</v>
      </c>
      <c r="F505" s="272">
        <v>2020</v>
      </c>
      <c r="G505" s="272">
        <v>2023</v>
      </c>
      <c r="H505" s="176">
        <v>18000000</v>
      </c>
      <c r="I505" s="176"/>
      <c r="J505" s="176">
        <v>10000000</v>
      </c>
      <c r="K505" s="171"/>
      <c r="L505" s="176">
        <v>2500000</v>
      </c>
      <c r="M505" s="176">
        <v>2500000</v>
      </c>
      <c r="N505" s="176">
        <v>2500000</v>
      </c>
      <c r="O505" s="176">
        <v>2500000</v>
      </c>
      <c r="P505" s="140" t="s">
        <v>1042</v>
      </c>
    </row>
    <row r="506" spans="1:16" s="31" customFormat="1" ht="37.5" customHeight="1">
      <c r="A506" s="171">
        <v>126</v>
      </c>
      <c r="B506" s="200" t="s">
        <v>36</v>
      </c>
      <c r="C506" s="186" t="s">
        <v>982</v>
      </c>
      <c r="D506" s="172" t="s">
        <v>37</v>
      </c>
      <c r="E506" s="172" t="s">
        <v>983</v>
      </c>
      <c r="F506" s="171">
        <v>2015</v>
      </c>
      <c r="G506" s="171">
        <v>2023</v>
      </c>
      <c r="H506" s="176">
        <v>8640000</v>
      </c>
      <c r="I506" s="176"/>
      <c r="J506" s="176">
        <v>1036800</v>
      </c>
      <c r="K506" s="171"/>
      <c r="L506" s="176">
        <v>259200</v>
      </c>
      <c r="M506" s="176">
        <v>259200</v>
      </c>
      <c r="N506" s="176">
        <v>259200</v>
      </c>
      <c r="O506" s="176">
        <v>259200</v>
      </c>
      <c r="P506" s="140"/>
    </row>
    <row r="507" spans="1:16" s="31" customFormat="1" ht="45" customHeight="1">
      <c r="A507" s="171">
        <v>127</v>
      </c>
      <c r="B507" s="200" t="s">
        <v>36</v>
      </c>
      <c r="C507" s="186" t="s">
        <v>984</v>
      </c>
      <c r="D507" s="172" t="s">
        <v>37</v>
      </c>
      <c r="E507" s="172" t="s">
        <v>985</v>
      </c>
      <c r="F507" s="171">
        <v>2015</v>
      </c>
      <c r="G507" s="171">
        <v>2023</v>
      </c>
      <c r="H507" s="176">
        <v>22000000</v>
      </c>
      <c r="I507" s="176"/>
      <c r="J507" s="176">
        <v>2640000</v>
      </c>
      <c r="K507" s="171"/>
      <c r="L507" s="176">
        <v>660000</v>
      </c>
      <c r="M507" s="176">
        <v>660000</v>
      </c>
      <c r="N507" s="176">
        <v>660000</v>
      </c>
      <c r="O507" s="176">
        <v>660000</v>
      </c>
      <c r="P507" s="140" t="s">
        <v>714</v>
      </c>
    </row>
    <row r="508" spans="1:16" s="31" customFormat="1" ht="45" customHeight="1" thickBot="1">
      <c r="A508" s="171">
        <v>128</v>
      </c>
      <c r="B508" s="200" t="s">
        <v>36</v>
      </c>
      <c r="C508" s="186" t="s">
        <v>986</v>
      </c>
      <c r="D508" s="172" t="s">
        <v>37</v>
      </c>
      <c r="E508" s="172" t="s">
        <v>987</v>
      </c>
      <c r="F508" s="171">
        <v>2021</v>
      </c>
      <c r="G508" s="171">
        <v>2023</v>
      </c>
      <c r="H508" s="176">
        <v>5000000</v>
      </c>
      <c r="I508" s="176"/>
      <c r="J508" s="176">
        <v>750000</v>
      </c>
      <c r="K508" s="171"/>
      <c r="L508" s="176">
        <v>187500</v>
      </c>
      <c r="M508" s="176">
        <v>187500</v>
      </c>
      <c r="N508" s="176">
        <v>187500</v>
      </c>
      <c r="O508" s="176">
        <v>187500</v>
      </c>
      <c r="P508" s="140" t="s">
        <v>1031</v>
      </c>
    </row>
    <row r="509" spans="1:16" s="33" customFormat="1" ht="30" customHeight="1" thickBot="1">
      <c r="A509" s="668" t="s">
        <v>20</v>
      </c>
      <c r="B509" s="669"/>
      <c r="C509" s="669"/>
      <c r="D509" s="669"/>
      <c r="E509" s="669"/>
      <c r="F509" s="669"/>
      <c r="G509" s="670"/>
      <c r="H509" s="554">
        <f t="shared" ref="H509:O509" si="32">SUM(H381:H508)</f>
        <v>1551731643</v>
      </c>
      <c r="I509" s="554">
        <f t="shared" si="32"/>
        <v>14729440</v>
      </c>
      <c r="J509" s="554">
        <f t="shared" si="32"/>
        <v>319960515</v>
      </c>
      <c r="K509" s="554">
        <f t="shared" si="32"/>
        <v>0</v>
      </c>
      <c r="L509" s="554">
        <f t="shared" si="32"/>
        <v>79990128.75</v>
      </c>
      <c r="M509" s="554">
        <f t="shared" si="32"/>
        <v>79990128.75</v>
      </c>
      <c r="N509" s="554">
        <f t="shared" si="32"/>
        <v>79990128.75</v>
      </c>
      <c r="O509" s="554">
        <f t="shared" si="32"/>
        <v>79990128.75</v>
      </c>
      <c r="P509" s="122"/>
    </row>
    <row r="510" spans="1:16" s="6" customFormat="1" ht="21.75" customHeight="1" thickBot="1">
      <c r="A510" s="671"/>
      <c r="B510" s="672"/>
      <c r="C510" s="672"/>
      <c r="D510" s="672"/>
      <c r="E510" s="672"/>
      <c r="F510" s="672"/>
      <c r="G510" s="672"/>
      <c r="H510" s="672"/>
      <c r="I510" s="672"/>
      <c r="J510" s="672"/>
      <c r="K510" s="672"/>
      <c r="L510" s="672"/>
      <c r="M510" s="672"/>
      <c r="N510" s="672"/>
      <c r="O510" s="672"/>
      <c r="P510" s="673"/>
    </row>
    <row r="511" spans="1:16" s="1" customFormat="1" ht="30" customHeight="1" thickBot="1">
      <c r="A511" s="652" t="s">
        <v>21</v>
      </c>
      <c r="B511" s="653"/>
      <c r="C511" s="653"/>
      <c r="D511" s="653"/>
      <c r="E511" s="653"/>
      <c r="F511" s="653"/>
      <c r="G511" s="653"/>
      <c r="H511" s="653"/>
      <c r="I511" s="653"/>
      <c r="J511" s="653"/>
      <c r="K511" s="653"/>
      <c r="L511" s="653"/>
      <c r="M511" s="653"/>
      <c r="N511" s="653"/>
      <c r="O511" s="653"/>
      <c r="P511" s="654"/>
    </row>
    <row r="512" spans="1:16" s="1" customFormat="1" ht="78.75">
      <c r="A512" s="370">
        <v>1</v>
      </c>
      <c r="B512" s="200" t="s">
        <v>25</v>
      </c>
      <c r="C512" s="201" t="s">
        <v>1094</v>
      </c>
      <c r="D512" s="152" t="s">
        <v>1095</v>
      </c>
      <c r="E512" s="152" t="s">
        <v>725</v>
      </c>
      <c r="F512" s="152">
        <v>2021</v>
      </c>
      <c r="G512" s="202">
        <v>2021</v>
      </c>
      <c r="H512" s="203">
        <v>550000</v>
      </c>
      <c r="I512" s="219">
        <v>0</v>
      </c>
      <c r="J512" s="203">
        <v>0</v>
      </c>
      <c r="K512" s="143"/>
      <c r="L512" s="143">
        <v>0</v>
      </c>
      <c r="M512" s="143">
        <v>0</v>
      </c>
      <c r="N512" s="143">
        <v>0</v>
      </c>
      <c r="O512" s="143">
        <v>0</v>
      </c>
      <c r="P512" s="153"/>
    </row>
    <row r="513" spans="1:16" s="1" customFormat="1" ht="93.75" customHeight="1">
      <c r="A513" s="154">
        <v>2</v>
      </c>
      <c r="B513" s="200" t="s">
        <v>25</v>
      </c>
      <c r="C513" s="161" t="s">
        <v>1096</v>
      </c>
      <c r="D513" s="171" t="s">
        <v>1097</v>
      </c>
      <c r="E513" s="171" t="s">
        <v>1098</v>
      </c>
      <c r="F513" s="171">
        <v>2021</v>
      </c>
      <c r="G513" s="158">
        <v>2021</v>
      </c>
      <c r="H513" s="144">
        <v>11600000</v>
      </c>
      <c r="I513" s="166">
        <v>0</v>
      </c>
      <c r="J513" s="144">
        <v>150000</v>
      </c>
      <c r="K513" s="144"/>
      <c r="L513" s="144">
        <v>37500</v>
      </c>
      <c r="M513" s="144">
        <v>37500</v>
      </c>
      <c r="N513" s="144">
        <v>37500</v>
      </c>
      <c r="O513" s="144">
        <v>37500</v>
      </c>
      <c r="P513" s="157"/>
    </row>
    <row r="514" spans="1:16" s="1" customFormat="1" ht="57" customHeight="1">
      <c r="A514" s="154">
        <v>3</v>
      </c>
      <c r="B514" s="200" t="s">
        <v>25</v>
      </c>
      <c r="C514" s="161" t="s">
        <v>1099</v>
      </c>
      <c r="D514" s="171" t="s">
        <v>1100</v>
      </c>
      <c r="E514" s="171" t="s">
        <v>1098</v>
      </c>
      <c r="F514" s="171">
        <v>2021</v>
      </c>
      <c r="G514" s="158">
        <v>2021</v>
      </c>
      <c r="H514" s="144">
        <v>15000000</v>
      </c>
      <c r="I514" s="166">
        <v>0</v>
      </c>
      <c r="J514" s="144">
        <v>950000</v>
      </c>
      <c r="K514" s="144"/>
      <c r="L514" s="144">
        <v>237500</v>
      </c>
      <c r="M514" s="144">
        <v>237500</v>
      </c>
      <c r="N514" s="144">
        <v>237500</v>
      </c>
      <c r="O514" s="144">
        <v>237500</v>
      </c>
      <c r="P514" s="157"/>
    </row>
    <row r="515" spans="1:16" s="1" customFormat="1" ht="65.25" customHeight="1" thickBot="1">
      <c r="A515" s="154">
        <v>4</v>
      </c>
      <c r="B515" s="200" t="s">
        <v>25</v>
      </c>
      <c r="C515" s="161" t="s">
        <v>1101</v>
      </c>
      <c r="D515" s="171" t="s">
        <v>1102</v>
      </c>
      <c r="E515" s="171" t="s">
        <v>1098</v>
      </c>
      <c r="F515" s="171">
        <v>2021</v>
      </c>
      <c r="G515" s="158">
        <v>2021</v>
      </c>
      <c r="H515" s="144">
        <v>18000000</v>
      </c>
      <c r="I515" s="167">
        <v>0</v>
      </c>
      <c r="J515" s="144">
        <v>150000</v>
      </c>
      <c r="K515" s="144"/>
      <c r="L515" s="144">
        <v>37500</v>
      </c>
      <c r="M515" s="144">
        <v>37500</v>
      </c>
      <c r="N515" s="144">
        <v>37500</v>
      </c>
      <c r="O515" s="144">
        <v>37500</v>
      </c>
      <c r="P515" s="157"/>
    </row>
    <row r="516" spans="1:16" s="1" customFormat="1" ht="30" customHeight="1" thickBot="1">
      <c r="A516" s="668" t="s">
        <v>20</v>
      </c>
      <c r="B516" s="669"/>
      <c r="C516" s="669"/>
      <c r="D516" s="669"/>
      <c r="E516" s="669"/>
      <c r="F516" s="669"/>
      <c r="G516" s="670"/>
      <c r="H516" s="146">
        <f t="shared" ref="H516:O516" si="33">SUM(H512:H515)</f>
        <v>45150000</v>
      </c>
      <c r="I516" s="146">
        <f t="shared" si="33"/>
        <v>0</v>
      </c>
      <c r="J516" s="146">
        <f t="shared" si="33"/>
        <v>1250000</v>
      </c>
      <c r="K516" s="146">
        <f t="shared" si="33"/>
        <v>0</v>
      </c>
      <c r="L516" s="146">
        <f t="shared" si="33"/>
        <v>312500</v>
      </c>
      <c r="M516" s="146">
        <f t="shared" si="33"/>
        <v>312500</v>
      </c>
      <c r="N516" s="146">
        <f t="shared" si="33"/>
        <v>312500</v>
      </c>
      <c r="O516" s="146">
        <f t="shared" si="33"/>
        <v>312500</v>
      </c>
      <c r="P516" s="119"/>
    </row>
    <row r="517" spans="1:16" s="48" customFormat="1" ht="15.75" customHeight="1" thickBot="1">
      <c r="A517" s="671"/>
      <c r="B517" s="672"/>
      <c r="C517" s="672"/>
      <c r="D517" s="672"/>
      <c r="E517" s="672"/>
      <c r="F517" s="672"/>
      <c r="G517" s="672"/>
      <c r="H517" s="672"/>
      <c r="I517" s="672"/>
      <c r="J517" s="672"/>
      <c r="K517" s="672"/>
      <c r="L517" s="672"/>
      <c r="M517" s="672"/>
      <c r="N517" s="672"/>
      <c r="O517" s="672"/>
      <c r="P517" s="673"/>
    </row>
    <row r="518" spans="1:16" ht="30" customHeight="1">
      <c r="A518" s="680" t="s">
        <v>57</v>
      </c>
      <c r="B518" s="680"/>
      <c r="C518" s="680"/>
      <c r="D518" s="680"/>
      <c r="E518" s="680"/>
      <c r="F518" s="680"/>
      <c r="G518" s="680"/>
      <c r="H518" s="680"/>
      <c r="I518" s="680"/>
      <c r="J518" s="680"/>
      <c r="K518" s="680"/>
      <c r="L518" s="680"/>
      <c r="M518" s="680"/>
      <c r="N518" s="680"/>
      <c r="O518" s="680"/>
      <c r="P518" s="680"/>
    </row>
    <row r="519" spans="1:16" s="31" customFormat="1" ht="167.25" customHeight="1">
      <c r="A519" s="200">
        <v>1</v>
      </c>
      <c r="B519" s="200" t="s">
        <v>56</v>
      </c>
      <c r="C519" s="191" t="s">
        <v>471</v>
      </c>
      <c r="D519" s="245" t="s">
        <v>472</v>
      </c>
      <c r="E519" s="342" t="s">
        <v>473</v>
      </c>
      <c r="F519" s="555">
        <v>2013</v>
      </c>
      <c r="G519" s="555">
        <v>2023</v>
      </c>
      <c r="H519" s="213">
        <v>63587879</v>
      </c>
      <c r="I519" s="213">
        <v>30827026</v>
      </c>
      <c r="J519" s="213">
        <v>3444000</v>
      </c>
      <c r="K519" s="213"/>
      <c r="L519" s="213"/>
      <c r="M519" s="213"/>
      <c r="N519" s="213">
        <v>444000</v>
      </c>
      <c r="O519" s="213">
        <v>3000000</v>
      </c>
      <c r="P519" s="193" t="s">
        <v>607</v>
      </c>
    </row>
    <row r="520" spans="1:16" s="31" customFormat="1" ht="47.25">
      <c r="A520" s="158">
        <v>2</v>
      </c>
      <c r="B520" s="158" t="s">
        <v>56</v>
      </c>
      <c r="C520" s="388" t="s">
        <v>474</v>
      </c>
      <c r="D520" s="342" t="s">
        <v>475</v>
      </c>
      <c r="E520" s="342" t="s">
        <v>473</v>
      </c>
      <c r="F520" s="342">
        <v>2012</v>
      </c>
      <c r="G520" s="342">
        <v>2021</v>
      </c>
      <c r="H520" s="213">
        <v>320774403</v>
      </c>
      <c r="I520" s="213">
        <v>204901933</v>
      </c>
      <c r="J520" s="213">
        <v>20653000</v>
      </c>
      <c r="K520" s="213"/>
      <c r="L520" s="213">
        <v>13325991.82</v>
      </c>
      <c r="M520" s="213">
        <v>2327008</v>
      </c>
      <c r="N520" s="213">
        <v>2500000</v>
      </c>
      <c r="O520" s="213">
        <v>2500000</v>
      </c>
      <c r="P520" s="194" t="s">
        <v>608</v>
      </c>
    </row>
    <row r="521" spans="1:16" s="31" customFormat="1" ht="60.75">
      <c r="A521" s="158">
        <v>3</v>
      </c>
      <c r="B521" s="158" t="s">
        <v>56</v>
      </c>
      <c r="C521" s="244" t="s">
        <v>476</v>
      </c>
      <c r="D521" s="245" t="s">
        <v>477</v>
      </c>
      <c r="E521" s="342" t="s">
        <v>478</v>
      </c>
      <c r="F521" s="555">
        <v>2019</v>
      </c>
      <c r="G521" s="555">
        <v>2021</v>
      </c>
      <c r="H521" s="213">
        <v>41362.35</v>
      </c>
      <c r="I521" s="213">
        <v>0</v>
      </c>
      <c r="J521" s="213">
        <v>0</v>
      </c>
      <c r="K521" s="213"/>
      <c r="L521" s="213">
        <v>0</v>
      </c>
      <c r="M521" s="213">
        <v>0</v>
      </c>
      <c r="N521" s="213">
        <v>0</v>
      </c>
      <c r="O521" s="213">
        <v>0</v>
      </c>
      <c r="P521" s="194" t="s">
        <v>609</v>
      </c>
    </row>
    <row r="522" spans="1:16" s="31" customFormat="1" ht="63">
      <c r="A522" s="200">
        <v>4</v>
      </c>
      <c r="B522" s="158" t="s">
        <v>56</v>
      </c>
      <c r="C522" s="387" t="s">
        <v>479</v>
      </c>
      <c r="D522" s="245" t="s">
        <v>480</v>
      </c>
      <c r="E522" s="342" t="s">
        <v>473</v>
      </c>
      <c r="F522" s="555">
        <v>2018</v>
      </c>
      <c r="G522" s="555">
        <v>2023</v>
      </c>
      <c r="H522" s="213">
        <v>210000000</v>
      </c>
      <c r="I522" s="213">
        <v>6812413</v>
      </c>
      <c r="J522" s="213">
        <v>20000000</v>
      </c>
      <c r="K522" s="213"/>
      <c r="L522" s="213">
        <v>11648125</v>
      </c>
      <c r="M522" s="213">
        <v>3351875</v>
      </c>
      <c r="N522" s="213">
        <v>2500000</v>
      </c>
      <c r="O522" s="213">
        <v>2500000</v>
      </c>
      <c r="P522" s="194" t="s">
        <v>610</v>
      </c>
    </row>
    <row r="523" spans="1:16" s="31" customFormat="1" ht="45.75">
      <c r="A523" s="158">
        <v>5</v>
      </c>
      <c r="B523" s="158" t="s">
        <v>56</v>
      </c>
      <c r="C523" s="244" t="s">
        <v>481</v>
      </c>
      <c r="D523" s="245" t="s">
        <v>482</v>
      </c>
      <c r="E523" s="342" t="s">
        <v>473</v>
      </c>
      <c r="F523" s="555">
        <v>2018</v>
      </c>
      <c r="G523" s="555">
        <v>2023</v>
      </c>
      <c r="H523" s="213">
        <v>168415500</v>
      </c>
      <c r="I523" s="213">
        <v>19161025.5</v>
      </c>
      <c r="J523" s="213">
        <v>20000000</v>
      </c>
      <c r="K523" s="213"/>
      <c r="L523" s="213">
        <v>12118465.93</v>
      </c>
      <c r="M523" s="213">
        <v>2881534</v>
      </c>
      <c r="N523" s="213">
        <v>2500000</v>
      </c>
      <c r="O523" s="213">
        <v>2500000</v>
      </c>
      <c r="P523" s="195" t="s">
        <v>611</v>
      </c>
    </row>
    <row r="524" spans="1:16" s="31" customFormat="1" ht="60.75">
      <c r="A524" s="158">
        <v>6</v>
      </c>
      <c r="B524" s="158" t="s">
        <v>56</v>
      </c>
      <c r="C524" s="190" t="s">
        <v>606</v>
      </c>
      <c r="D524" s="245" t="s">
        <v>483</v>
      </c>
      <c r="E524" s="342" t="s">
        <v>484</v>
      </c>
      <c r="F524" s="245">
        <v>2018</v>
      </c>
      <c r="G524" s="245">
        <v>2022</v>
      </c>
      <c r="H524" s="213">
        <v>1330000</v>
      </c>
      <c r="I524" s="213">
        <v>717348.65</v>
      </c>
      <c r="J524" s="213">
        <v>606399</v>
      </c>
      <c r="K524" s="213"/>
      <c r="L524" s="213">
        <v>265522.73</v>
      </c>
      <c r="M524" s="213">
        <v>140876</v>
      </c>
      <c r="N524" s="213">
        <v>100000</v>
      </c>
      <c r="O524" s="213">
        <v>100000</v>
      </c>
      <c r="P524" s="196" t="s">
        <v>612</v>
      </c>
    </row>
    <row r="525" spans="1:16" s="31" customFormat="1" ht="60.75">
      <c r="A525" s="200">
        <v>7</v>
      </c>
      <c r="B525" s="158" t="s">
        <v>56</v>
      </c>
      <c r="C525" s="389" t="s">
        <v>1831</v>
      </c>
      <c r="D525" s="509" t="s">
        <v>485</v>
      </c>
      <c r="E525" s="342" t="s">
        <v>478</v>
      </c>
      <c r="F525" s="342">
        <v>2018</v>
      </c>
      <c r="G525" s="509">
        <v>2022</v>
      </c>
      <c r="H525" s="213">
        <v>1570000</v>
      </c>
      <c r="I525" s="213">
        <v>640175.87</v>
      </c>
      <c r="J525" s="213">
        <v>926312</v>
      </c>
      <c r="K525" s="213"/>
      <c r="L525" s="213">
        <v>236957</v>
      </c>
      <c r="M525" s="213">
        <v>289355</v>
      </c>
      <c r="N525" s="213">
        <v>200000</v>
      </c>
      <c r="O525" s="213">
        <v>200000</v>
      </c>
      <c r="P525" s="195" t="s">
        <v>613</v>
      </c>
    </row>
    <row r="526" spans="1:16" s="31" customFormat="1" ht="60.75">
      <c r="A526" s="158">
        <v>8</v>
      </c>
      <c r="B526" s="158" t="s">
        <v>56</v>
      </c>
      <c r="C526" s="389" t="s">
        <v>1832</v>
      </c>
      <c r="D526" s="509" t="s">
        <v>486</v>
      </c>
      <c r="E526" s="342" t="s">
        <v>478</v>
      </c>
      <c r="F526" s="342">
        <v>2018</v>
      </c>
      <c r="G526" s="509">
        <v>2022</v>
      </c>
      <c r="H526" s="213">
        <v>1560000</v>
      </c>
      <c r="I526" s="213">
        <v>633663.4</v>
      </c>
      <c r="J526" s="213">
        <v>926312</v>
      </c>
      <c r="K526" s="213"/>
      <c r="L526" s="213">
        <v>234547</v>
      </c>
      <c r="M526" s="213">
        <v>291547</v>
      </c>
      <c r="N526" s="213">
        <v>200000</v>
      </c>
      <c r="O526" s="213">
        <v>200000</v>
      </c>
      <c r="P526" s="195" t="s">
        <v>614</v>
      </c>
    </row>
    <row r="527" spans="1:16" s="31" customFormat="1" ht="60.75">
      <c r="A527" s="158">
        <v>9</v>
      </c>
      <c r="B527" s="158" t="s">
        <v>56</v>
      </c>
      <c r="C527" s="192" t="s">
        <v>1833</v>
      </c>
      <c r="D527" s="509" t="s">
        <v>487</v>
      </c>
      <c r="E527" s="342" t="s">
        <v>478</v>
      </c>
      <c r="F527" s="509">
        <v>2019</v>
      </c>
      <c r="G527" s="509">
        <v>2022</v>
      </c>
      <c r="H527" s="213">
        <v>1560000</v>
      </c>
      <c r="I527" s="213">
        <v>633012.15</v>
      </c>
      <c r="J527" s="213">
        <v>926313</v>
      </c>
      <c r="K527" s="213"/>
      <c r="L527" s="213">
        <v>234306.03</v>
      </c>
      <c r="M527" s="213">
        <v>292007</v>
      </c>
      <c r="N527" s="213">
        <v>200000</v>
      </c>
      <c r="O527" s="213">
        <v>200000</v>
      </c>
      <c r="P527" s="195" t="s">
        <v>613</v>
      </c>
    </row>
    <row r="528" spans="1:16" s="31" customFormat="1" ht="60.75">
      <c r="A528" s="200">
        <v>10</v>
      </c>
      <c r="B528" s="158" t="s">
        <v>56</v>
      </c>
      <c r="C528" s="192" t="s">
        <v>1834</v>
      </c>
      <c r="D528" s="509" t="s">
        <v>488</v>
      </c>
      <c r="E528" s="342" t="s">
        <v>478</v>
      </c>
      <c r="F528" s="509">
        <v>2018</v>
      </c>
      <c r="G528" s="509">
        <v>202</v>
      </c>
      <c r="H528" s="213">
        <v>1560000</v>
      </c>
      <c r="I528" s="213">
        <v>632035.28</v>
      </c>
      <c r="J528" s="213">
        <v>926312</v>
      </c>
      <c r="K528" s="213"/>
      <c r="L528" s="213">
        <v>233944.45</v>
      </c>
      <c r="M528" s="213">
        <v>292268</v>
      </c>
      <c r="N528" s="213">
        <v>200000</v>
      </c>
      <c r="O528" s="213">
        <v>200000</v>
      </c>
      <c r="P528" s="195" t="s">
        <v>615</v>
      </c>
    </row>
    <row r="529" spans="1:16" s="31" customFormat="1" ht="60.75">
      <c r="A529" s="158">
        <v>11</v>
      </c>
      <c r="B529" s="158" t="s">
        <v>56</v>
      </c>
      <c r="C529" s="192" t="s">
        <v>1835</v>
      </c>
      <c r="D529" s="509" t="s">
        <v>489</v>
      </c>
      <c r="E529" s="342" t="s">
        <v>478</v>
      </c>
      <c r="F529" s="509">
        <v>2020</v>
      </c>
      <c r="G529" s="509">
        <v>2022</v>
      </c>
      <c r="H529" s="213">
        <v>1772794</v>
      </c>
      <c r="I529" s="213">
        <v>1305432.27</v>
      </c>
      <c r="J529" s="213">
        <f>+H529-I529</f>
        <v>467361.73</v>
      </c>
      <c r="K529" s="213"/>
      <c r="L529" s="213">
        <v>38990.69</v>
      </c>
      <c r="M529" s="213">
        <v>148371</v>
      </c>
      <c r="N529" s="213">
        <v>140000</v>
      </c>
      <c r="O529" s="213">
        <v>140000</v>
      </c>
      <c r="P529" s="196" t="s">
        <v>616</v>
      </c>
    </row>
    <row r="530" spans="1:16" s="31" customFormat="1" ht="60.75">
      <c r="A530" s="158">
        <v>12</v>
      </c>
      <c r="B530" s="158" t="s">
        <v>56</v>
      </c>
      <c r="C530" s="192" t="s">
        <v>1836</v>
      </c>
      <c r="D530" s="509" t="s">
        <v>490</v>
      </c>
      <c r="E530" s="342" t="s">
        <v>484</v>
      </c>
      <c r="F530" s="342">
        <v>2018</v>
      </c>
      <c r="G530" s="509">
        <v>2022</v>
      </c>
      <c r="H530" s="213">
        <v>3342713</v>
      </c>
      <c r="I530" s="213">
        <v>2537913.92</v>
      </c>
      <c r="J530" s="213">
        <v>379603</v>
      </c>
      <c r="K530" s="213">
        <f>+J530-L530</f>
        <v>303576.91000000003</v>
      </c>
      <c r="L530" s="213">
        <v>76026.09</v>
      </c>
      <c r="M530" s="213">
        <v>103577</v>
      </c>
      <c r="N530" s="213">
        <v>100000</v>
      </c>
      <c r="O530" s="213">
        <v>100000</v>
      </c>
      <c r="P530" s="196" t="s">
        <v>617</v>
      </c>
    </row>
    <row r="531" spans="1:16" s="31" customFormat="1" ht="60.75">
      <c r="A531" s="200">
        <v>13</v>
      </c>
      <c r="B531" s="158" t="s">
        <v>56</v>
      </c>
      <c r="C531" s="192" t="s">
        <v>1837</v>
      </c>
      <c r="D531" s="509" t="s">
        <v>491</v>
      </c>
      <c r="E531" s="342" t="s">
        <v>478</v>
      </c>
      <c r="F531" s="342">
        <v>2018</v>
      </c>
      <c r="G531" s="509">
        <v>2022</v>
      </c>
      <c r="H531" s="213">
        <v>1603215</v>
      </c>
      <c r="I531" s="213">
        <v>1005040.29</v>
      </c>
      <c r="J531" s="213">
        <v>598175</v>
      </c>
      <c r="K531" s="213"/>
      <c r="L531" s="213">
        <v>124000</v>
      </c>
      <c r="M531" s="213">
        <v>174175</v>
      </c>
      <c r="N531" s="213">
        <v>150000</v>
      </c>
      <c r="O531" s="213">
        <v>150000</v>
      </c>
      <c r="P531" s="196" t="s">
        <v>618</v>
      </c>
    </row>
    <row r="532" spans="1:16" s="102" customFormat="1" ht="60.75">
      <c r="A532" s="158">
        <v>14</v>
      </c>
      <c r="B532" s="158" t="s">
        <v>56</v>
      </c>
      <c r="C532" s="192" t="s">
        <v>1838</v>
      </c>
      <c r="D532" s="509" t="s">
        <v>492</v>
      </c>
      <c r="E532" s="342" t="s">
        <v>478</v>
      </c>
      <c r="F532" s="342">
        <v>2018</v>
      </c>
      <c r="G532" s="509">
        <v>2022</v>
      </c>
      <c r="H532" s="213">
        <v>1020337</v>
      </c>
      <c r="I532" s="213">
        <v>639427.21</v>
      </c>
      <c r="J532" s="213">
        <v>380910</v>
      </c>
      <c r="K532" s="213"/>
      <c r="L532" s="213">
        <v>78891.34</v>
      </c>
      <c r="M532" s="213">
        <v>102019</v>
      </c>
      <c r="N532" s="213">
        <v>100000</v>
      </c>
      <c r="O532" s="213">
        <v>100000</v>
      </c>
      <c r="P532" s="196" t="s">
        <v>619</v>
      </c>
    </row>
    <row r="533" spans="1:16" s="31" customFormat="1" ht="60.75">
      <c r="A533" s="158">
        <v>15</v>
      </c>
      <c r="B533" s="158" t="s">
        <v>56</v>
      </c>
      <c r="C533" s="389" t="s">
        <v>1839</v>
      </c>
      <c r="D533" s="509" t="s">
        <v>493</v>
      </c>
      <c r="E533" s="342" t="s">
        <v>478</v>
      </c>
      <c r="F533" s="342">
        <v>2019</v>
      </c>
      <c r="G533" s="509">
        <v>2022</v>
      </c>
      <c r="H533" s="213">
        <v>1514365</v>
      </c>
      <c r="I533" s="213">
        <v>949248.68</v>
      </c>
      <c r="J533" s="213">
        <v>565116</v>
      </c>
      <c r="K533" s="213"/>
      <c r="L533" s="213">
        <v>117116.54</v>
      </c>
      <c r="M533" s="213">
        <v>147999</v>
      </c>
      <c r="N533" s="213">
        <v>150000</v>
      </c>
      <c r="O533" s="213">
        <v>150000</v>
      </c>
      <c r="P533" s="196" t="s">
        <v>620</v>
      </c>
    </row>
    <row r="534" spans="1:16" s="31" customFormat="1" ht="60.75">
      <c r="A534" s="200">
        <v>16</v>
      </c>
      <c r="B534" s="158" t="s">
        <v>56</v>
      </c>
      <c r="C534" s="192" t="s">
        <v>1840</v>
      </c>
      <c r="D534" s="509" t="s">
        <v>494</v>
      </c>
      <c r="E534" s="342" t="s">
        <v>478</v>
      </c>
      <c r="F534" s="342">
        <v>2019</v>
      </c>
      <c r="G534" s="509">
        <v>2022</v>
      </c>
      <c r="H534" s="213">
        <v>1851324</v>
      </c>
      <c r="I534" s="213">
        <v>1363135.36</v>
      </c>
      <c r="J534" s="213">
        <v>488189</v>
      </c>
      <c r="K534" s="213"/>
      <c r="L534" s="213">
        <v>168181.1</v>
      </c>
      <c r="M534" s="213">
        <v>120008</v>
      </c>
      <c r="N534" s="213">
        <v>100000</v>
      </c>
      <c r="O534" s="213">
        <v>100000</v>
      </c>
      <c r="P534" s="196" t="s">
        <v>621</v>
      </c>
    </row>
    <row r="535" spans="1:16" s="31" customFormat="1" ht="90.75">
      <c r="A535" s="158">
        <v>17</v>
      </c>
      <c r="B535" s="158" t="s">
        <v>56</v>
      </c>
      <c r="C535" s="192" t="s">
        <v>495</v>
      </c>
      <c r="D535" s="509" t="s">
        <v>496</v>
      </c>
      <c r="E535" s="342" t="s">
        <v>478</v>
      </c>
      <c r="F535" s="342">
        <v>2019</v>
      </c>
      <c r="G535" s="509">
        <v>2022</v>
      </c>
      <c r="H535" s="213">
        <v>1790060</v>
      </c>
      <c r="I535" s="213">
        <v>635063.76</v>
      </c>
      <c r="J535" s="213">
        <v>690074</v>
      </c>
      <c r="K535" s="213"/>
      <c r="L535" s="213">
        <v>399480.35</v>
      </c>
      <c r="M535" s="213">
        <v>110594</v>
      </c>
      <c r="N535" s="213">
        <v>90000</v>
      </c>
      <c r="O535" s="213">
        <v>90000</v>
      </c>
      <c r="P535" s="196" t="s">
        <v>622</v>
      </c>
    </row>
    <row r="536" spans="1:16" s="31" customFormat="1" ht="90.75">
      <c r="A536" s="158">
        <v>18</v>
      </c>
      <c r="B536" s="158" t="s">
        <v>56</v>
      </c>
      <c r="C536" s="387" t="s">
        <v>497</v>
      </c>
      <c r="D536" s="245" t="s">
        <v>498</v>
      </c>
      <c r="E536" s="342" t="s">
        <v>478</v>
      </c>
      <c r="F536" s="342">
        <v>2020</v>
      </c>
      <c r="G536" s="342">
        <v>2024</v>
      </c>
      <c r="H536" s="213">
        <v>1300000</v>
      </c>
      <c r="I536" s="213">
        <v>0</v>
      </c>
      <c r="J536" s="213">
        <v>2000</v>
      </c>
      <c r="K536" s="213"/>
      <c r="L536" s="213">
        <v>0</v>
      </c>
      <c r="M536" s="213">
        <v>0</v>
      </c>
      <c r="N536" s="213">
        <v>0</v>
      </c>
      <c r="O536" s="213">
        <v>2000</v>
      </c>
      <c r="P536" s="193" t="s">
        <v>623</v>
      </c>
    </row>
    <row r="537" spans="1:16" s="31" customFormat="1" ht="31.5">
      <c r="A537" s="200">
        <v>19</v>
      </c>
      <c r="B537" s="158" t="s">
        <v>56</v>
      </c>
      <c r="C537" s="192" t="s">
        <v>499</v>
      </c>
      <c r="D537" s="509" t="s">
        <v>500</v>
      </c>
      <c r="E537" s="342" t="s">
        <v>478</v>
      </c>
      <c r="F537" s="342">
        <v>2018</v>
      </c>
      <c r="G537" s="509">
        <v>2023</v>
      </c>
      <c r="H537" s="213">
        <v>1526000</v>
      </c>
      <c r="I537" s="213">
        <v>0</v>
      </c>
      <c r="J537" s="213">
        <v>152600</v>
      </c>
      <c r="K537" s="213"/>
      <c r="L537" s="213">
        <v>0</v>
      </c>
      <c r="M537" s="213">
        <v>0</v>
      </c>
      <c r="N537" s="213">
        <v>0</v>
      </c>
      <c r="O537" s="213">
        <v>152600</v>
      </c>
      <c r="P537" s="196" t="s">
        <v>624</v>
      </c>
    </row>
    <row r="538" spans="1:16" s="31" customFormat="1" ht="90.75">
      <c r="A538" s="158">
        <v>20</v>
      </c>
      <c r="B538" s="158" t="s">
        <v>56</v>
      </c>
      <c r="C538" s="387" t="s">
        <v>501</v>
      </c>
      <c r="D538" s="245" t="s">
        <v>502</v>
      </c>
      <c r="E538" s="342" t="s">
        <v>478</v>
      </c>
      <c r="F538" s="342">
        <v>2020</v>
      </c>
      <c r="G538" s="342">
        <v>2021</v>
      </c>
      <c r="H538" s="213">
        <v>1366486</v>
      </c>
      <c r="I538" s="213">
        <v>0</v>
      </c>
      <c r="J538" s="213">
        <v>1303415</v>
      </c>
      <c r="K538" s="213"/>
      <c r="L538" s="213">
        <v>0</v>
      </c>
      <c r="M538" s="213">
        <v>0</v>
      </c>
      <c r="N538" s="213">
        <v>0</v>
      </c>
      <c r="O538" s="213">
        <v>1303415</v>
      </c>
      <c r="P538" s="197" t="s">
        <v>625</v>
      </c>
    </row>
    <row r="539" spans="1:16" s="31" customFormat="1" ht="47.25">
      <c r="A539" s="158">
        <v>21</v>
      </c>
      <c r="B539" s="158" t="s">
        <v>56</v>
      </c>
      <c r="C539" s="191" t="s">
        <v>503</v>
      </c>
      <c r="D539" s="245" t="s">
        <v>504</v>
      </c>
      <c r="E539" s="342" t="s">
        <v>505</v>
      </c>
      <c r="F539" s="555">
        <v>2017</v>
      </c>
      <c r="G539" s="555">
        <v>2024</v>
      </c>
      <c r="H539" s="213">
        <v>66000000</v>
      </c>
      <c r="I539" s="213">
        <v>0</v>
      </c>
      <c r="J539" s="213">
        <v>2000</v>
      </c>
      <c r="K539" s="213"/>
      <c r="L539" s="213">
        <v>0</v>
      </c>
      <c r="M539" s="213">
        <v>0</v>
      </c>
      <c r="N539" s="213">
        <v>0</v>
      </c>
      <c r="O539" s="213">
        <v>2000</v>
      </c>
      <c r="P539" s="193" t="s">
        <v>626</v>
      </c>
    </row>
    <row r="540" spans="1:16" s="31" customFormat="1" ht="47.25">
      <c r="A540" s="200">
        <v>22</v>
      </c>
      <c r="B540" s="158" t="s">
        <v>56</v>
      </c>
      <c r="C540" s="387" t="s">
        <v>506</v>
      </c>
      <c r="D540" s="245" t="s">
        <v>507</v>
      </c>
      <c r="E540" s="342" t="s">
        <v>473</v>
      </c>
      <c r="F540" s="555">
        <v>2016</v>
      </c>
      <c r="G540" s="555">
        <v>2023</v>
      </c>
      <c r="H540" s="213">
        <v>86400000</v>
      </c>
      <c r="I540" s="213">
        <v>0</v>
      </c>
      <c r="J540" s="213">
        <v>54000</v>
      </c>
      <c r="K540" s="213"/>
      <c r="L540" s="213">
        <v>0</v>
      </c>
      <c r="M540" s="213">
        <v>0</v>
      </c>
      <c r="N540" s="213">
        <v>0</v>
      </c>
      <c r="O540" s="213">
        <v>54000</v>
      </c>
      <c r="P540" s="193" t="s">
        <v>627</v>
      </c>
    </row>
    <row r="541" spans="1:16" s="31" customFormat="1" ht="120.75">
      <c r="A541" s="158">
        <v>23</v>
      </c>
      <c r="B541" s="158" t="s">
        <v>56</v>
      </c>
      <c r="C541" s="191" t="s">
        <v>508</v>
      </c>
      <c r="D541" s="342" t="s">
        <v>509</v>
      </c>
      <c r="E541" s="342" t="s">
        <v>473</v>
      </c>
      <c r="F541" s="342">
        <v>2015</v>
      </c>
      <c r="G541" s="342">
        <v>2024</v>
      </c>
      <c r="H541" s="213">
        <v>225030000</v>
      </c>
      <c r="I541" s="213">
        <v>0</v>
      </c>
      <c r="J541" s="213">
        <v>27264000</v>
      </c>
      <c r="K541" s="213"/>
      <c r="L541" s="213">
        <v>0</v>
      </c>
      <c r="M541" s="213">
        <v>0</v>
      </c>
      <c r="N541" s="213">
        <v>0</v>
      </c>
      <c r="O541" s="213">
        <v>27264000</v>
      </c>
      <c r="P541" s="193" t="s">
        <v>628</v>
      </c>
    </row>
    <row r="542" spans="1:16" s="31" customFormat="1" ht="75.75">
      <c r="A542" s="158">
        <v>24</v>
      </c>
      <c r="B542" s="158" t="s">
        <v>56</v>
      </c>
      <c r="C542" s="191" t="s">
        <v>510</v>
      </c>
      <c r="D542" s="342" t="s">
        <v>511</v>
      </c>
      <c r="E542" s="342" t="s">
        <v>512</v>
      </c>
      <c r="F542" s="342">
        <v>2018</v>
      </c>
      <c r="G542" s="342">
        <v>2022</v>
      </c>
      <c r="H542" s="213">
        <v>19800700</v>
      </c>
      <c r="I542" s="213">
        <v>0</v>
      </c>
      <c r="J542" s="213">
        <v>5796700</v>
      </c>
      <c r="K542" s="213"/>
      <c r="L542" s="213">
        <v>0</v>
      </c>
      <c r="M542" s="213">
        <v>0</v>
      </c>
      <c r="N542" s="213">
        <v>0</v>
      </c>
      <c r="O542" s="213">
        <v>5796700</v>
      </c>
      <c r="P542" s="193" t="s">
        <v>629</v>
      </c>
    </row>
    <row r="543" spans="1:16" s="31" customFormat="1" ht="150.75">
      <c r="A543" s="200">
        <v>25</v>
      </c>
      <c r="B543" s="158" t="s">
        <v>56</v>
      </c>
      <c r="C543" s="191" t="s">
        <v>513</v>
      </c>
      <c r="D543" s="342" t="s">
        <v>514</v>
      </c>
      <c r="E543" s="342" t="s">
        <v>473</v>
      </c>
      <c r="F543" s="342">
        <v>2015</v>
      </c>
      <c r="G543" s="342">
        <v>2024</v>
      </c>
      <c r="H543" s="213">
        <v>262850000</v>
      </c>
      <c r="I543" s="213">
        <v>0</v>
      </c>
      <c r="J543" s="213">
        <v>26285000</v>
      </c>
      <c r="K543" s="213"/>
      <c r="L543" s="213">
        <v>0</v>
      </c>
      <c r="M543" s="213">
        <v>0</v>
      </c>
      <c r="N543" s="213">
        <v>0</v>
      </c>
      <c r="O543" s="213">
        <v>26285000</v>
      </c>
      <c r="P543" s="193" t="s">
        <v>630</v>
      </c>
    </row>
    <row r="544" spans="1:16" s="31" customFormat="1" ht="45.75">
      <c r="A544" s="158">
        <v>26</v>
      </c>
      <c r="B544" s="158" t="s">
        <v>56</v>
      </c>
      <c r="C544" s="387" t="s">
        <v>515</v>
      </c>
      <c r="D544" s="342" t="s">
        <v>516</v>
      </c>
      <c r="E544" s="342" t="s">
        <v>473</v>
      </c>
      <c r="F544" s="342">
        <v>2020</v>
      </c>
      <c r="G544" s="342">
        <v>2023</v>
      </c>
      <c r="H544" s="213">
        <v>160000000</v>
      </c>
      <c r="I544" s="213">
        <v>0</v>
      </c>
      <c r="J544" s="213">
        <v>200000</v>
      </c>
      <c r="K544" s="213"/>
      <c r="L544" s="213">
        <v>0</v>
      </c>
      <c r="M544" s="213">
        <v>0</v>
      </c>
      <c r="N544" s="213">
        <v>0</v>
      </c>
      <c r="O544" s="213">
        <v>200000</v>
      </c>
      <c r="P544" s="193" t="s">
        <v>627</v>
      </c>
    </row>
    <row r="545" spans="1:16" s="31" customFormat="1" ht="45.75">
      <c r="A545" s="158">
        <v>27</v>
      </c>
      <c r="B545" s="158" t="s">
        <v>56</v>
      </c>
      <c r="C545" s="387" t="s">
        <v>517</v>
      </c>
      <c r="D545" s="342" t="s">
        <v>518</v>
      </c>
      <c r="E545" s="342" t="s">
        <v>473</v>
      </c>
      <c r="F545" s="342">
        <v>2020</v>
      </c>
      <c r="G545" s="342">
        <v>2023</v>
      </c>
      <c r="H545" s="213">
        <v>160000000</v>
      </c>
      <c r="I545" s="213">
        <v>0</v>
      </c>
      <c r="J545" s="213">
        <v>1000000</v>
      </c>
      <c r="K545" s="213"/>
      <c r="L545" s="213">
        <v>0</v>
      </c>
      <c r="M545" s="213">
        <v>0</v>
      </c>
      <c r="N545" s="213">
        <v>0</v>
      </c>
      <c r="O545" s="213">
        <v>1000000</v>
      </c>
      <c r="P545" s="193" t="s">
        <v>627</v>
      </c>
    </row>
    <row r="546" spans="1:16" s="31" customFormat="1" ht="45.75">
      <c r="A546" s="200">
        <v>28</v>
      </c>
      <c r="B546" s="158" t="s">
        <v>56</v>
      </c>
      <c r="C546" s="387" t="s">
        <v>519</v>
      </c>
      <c r="D546" s="342" t="s">
        <v>520</v>
      </c>
      <c r="E546" s="342" t="s">
        <v>473</v>
      </c>
      <c r="F546" s="342">
        <v>2020</v>
      </c>
      <c r="G546" s="342">
        <v>2023</v>
      </c>
      <c r="H546" s="213">
        <v>160000000</v>
      </c>
      <c r="I546" s="213">
        <v>0</v>
      </c>
      <c r="J546" s="213">
        <v>1000000</v>
      </c>
      <c r="K546" s="213"/>
      <c r="L546" s="213">
        <v>0</v>
      </c>
      <c r="M546" s="213">
        <v>0</v>
      </c>
      <c r="N546" s="213">
        <v>0</v>
      </c>
      <c r="O546" s="213">
        <v>1000000</v>
      </c>
      <c r="P546" s="193" t="s">
        <v>627</v>
      </c>
    </row>
    <row r="547" spans="1:16" s="31" customFormat="1" ht="45.75">
      <c r="A547" s="158">
        <v>29</v>
      </c>
      <c r="B547" s="158" t="s">
        <v>56</v>
      </c>
      <c r="C547" s="387" t="s">
        <v>521</v>
      </c>
      <c r="D547" s="342" t="s">
        <v>522</v>
      </c>
      <c r="E547" s="342" t="s">
        <v>473</v>
      </c>
      <c r="F547" s="342">
        <v>2020</v>
      </c>
      <c r="G547" s="342">
        <v>2023</v>
      </c>
      <c r="H547" s="213">
        <v>300000000</v>
      </c>
      <c r="I547" s="213">
        <v>0</v>
      </c>
      <c r="J547" s="213">
        <v>1250000</v>
      </c>
      <c r="K547" s="213"/>
      <c r="L547" s="213">
        <v>0</v>
      </c>
      <c r="M547" s="213">
        <v>0</v>
      </c>
      <c r="N547" s="213">
        <v>0</v>
      </c>
      <c r="O547" s="213">
        <v>1250000</v>
      </c>
      <c r="P547" s="193" t="s">
        <v>627</v>
      </c>
    </row>
    <row r="548" spans="1:16" s="31" customFormat="1" ht="45.75">
      <c r="A548" s="158">
        <v>30</v>
      </c>
      <c r="B548" s="158" t="s">
        <v>56</v>
      </c>
      <c r="C548" s="387" t="s">
        <v>523</v>
      </c>
      <c r="D548" s="342" t="s">
        <v>524</v>
      </c>
      <c r="E548" s="342" t="s">
        <v>473</v>
      </c>
      <c r="F548" s="342">
        <v>2020</v>
      </c>
      <c r="G548" s="342">
        <v>2023</v>
      </c>
      <c r="H548" s="213">
        <v>93040000</v>
      </c>
      <c r="I548" s="213">
        <v>0</v>
      </c>
      <c r="J548" s="213">
        <v>500000</v>
      </c>
      <c r="K548" s="213"/>
      <c r="L548" s="213">
        <v>0</v>
      </c>
      <c r="M548" s="213">
        <v>0</v>
      </c>
      <c r="N548" s="213">
        <v>0</v>
      </c>
      <c r="O548" s="213">
        <v>500000</v>
      </c>
      <c r="P548" s="193" t="s">
        <v>627</v>
      </c>
    </row>
    <row r="549" spans="1:16" s="31" customFormat="1" ht="31.5">
      <c r="A549" s="200">
        <v>31</v>
      </c>
      <c r="B549" s="158" t="s">
        <v>56</v>
      </c>
      <c r="C549" s="387" t="s">
        <v>525</v>
      </c>
      <c r="D549" s="342" t="s">
        <v>526</v>
      </c>
      <c r="E549" s="342" t="s">
        <v>473</v>
      </c>
      <c r="F549" s="342">
        <v>2020</v>
      </c>
      <c r="G549" s="342">
        <v>2023</v>
      </c>
      <c r="H549" s="213">
        <v>218750000</v>
      </c>
      <c r="I549" s="342">
        <v>0</v>
      </c>
      <c r="J549" s="213">
        <v>21875000</v>
      </c>
      <c r="K549" s="342"/>
      <c r="L549" s="213">
        <v>0</v>
      </c>
      <c r="M549" s="213">
        <v>0</v>
      </c>
      <c r="N549" s="213">
        <v>0</v>
      </c>
      <c r="O549" s="213">
        <v>21875000</v>
      </c>
      <c r="P549" s="198" t="s">
        <v>631</v>
      </c>
    </row>
    <row r="550" spans="1:16" s="31" customFormat="1" ht="60.75">
      <c r="A550" s="158">
        <v>32</v>
      </c>
      <c r="B550" s="158" t="s">
        <v>56</v>
      </c>
      <c r="C550" s="387" t="s">
        <v>527</v>
      </c>
      <c r="D550" s="342" t="s">
        <v>528</v>
      </c>
      <c r="E550" s="342" t="s">
        <v>512</v>
      </c>
      <c r="F550" s="342">
        <v>2020</v>
      </c>
      <c r="G550" s="342">
        <v>2023</v>
      </c>
      <c r="H550" s="213">
        <v>44638220</v>
      </c>
      <c r="I550" s="213">
        <v>0</v>
      </c>
      <c r="J550" s="213">
        <v>8927000</v>
      </c>
      <c r="K550" s="213"/>
      <c r="L550" s="213">
        <v>0</v>
      </c>
      <c r="M550" s="213">
        <v>0</v>
      </c>
      <c r="N550" s="213">
        <v>927000</v>
      </c>
      <c r="O550" s="213">
        <v>8000000</v>
      </c>
      <c r="P550" s="198" t="s">
        <v>632</v>
      </c>
    </row>
    <row r="551" spans="1:16" s="31" customFormat="1" ht="105.75">
      <c r="A551" s="158">
        <v>33</v>
      </c>
      <c r="B551" s="158" t="s">
        <v>56</v>
      </c>
      <c r="C551" s="387" t="s">
        <v>529</v>
      </c>
      <c r="D551" s="342" t="s">
        <v>530</v>
      </c>
      <c r="E551" s="342" t="s">
        <v>531</v>
      </c>
      <c r="F551" s="342">
        <v>2020</v>
      </c>
      <c r="G551" s="342">
        <v>2024</v>
      </c>
      <c r="H551" s="213">
        <v>3920000000</v>
      </c>
      <c r="I551" s="213"/>
      <c r="J551" s="213">
        <v>360594737</v>
      </c>
      <c r="K551" s="213"/>
      <c r="L551" s="213">
        <v>0</v>
      </c>
      <c r="M551" s="213">
        <v>0</v>
      </c>
      <c r="N551" s="213">
        <v>0</v>
      </c>
      <c r="O551" s="213">
        <v>360594737</v>
      </c>
      <c r="P551" s="198" t="s">
        <v>633</v>
      </c>
    </row>
    <row r="552" spans="1:16" s="31" customFormat="1" ht="45.75">
      <c r="A552" s="200">
        <v>34</v>
      </c>
      <c r="B552" s="158" t="s">
        <v>56</v>
      </c>
      <c r="C552" s="387" t="s">
        <v>532</v>
      </c>
      <c r="D552" s="342" t="s">
        <v>46</v>
      </c>
      <c r="E552" s="342" t="s">
        <v>533</v>
      </c>
      <c r="F552" s="342">
        <v>2021</v>
      </c>
      <c r="G552" s="342">
        <v>2022</v>
      </c>
      <c r="H552" s="213">
        <v>21000000</v>
      </c>
      <c r="I552" s="213"/>
      <c r="J552" s="213">
        <v>200000</v>
      </c>
      <c r="K552" s="213"/>
      <c r="L552" s="213">
        <v>0</v>
      </c>
      <c r="M552" s="213">
        <v>0</v>
      </c>
      <c r="N552" s="213">
        <v>0</v>
      </c>
      <c r="O552" s="213">
        <v>200000</v>
      </c>
      <c r="P552" s="193" t="s">
        <v>627</v>
      </c>
    </row>
    <row r="553" spans="1:16" s="31" customFormat="1" ht="45.75">
      <c r="A553" s="158">
        <v>35</v>
      </c>
      <c r="B553" s="158" t="s">
        <v>56</v>
      </c>
      <c r="C553" s="387" t="s">
        <v>534</v>
      </c>
      <c r="D553" s="342" t="s">
        <v>37</v>
      </c>
      <c r="E553" s="342" t="s">
        <v>473</v>
      </c>
      <c r="F553" s="342">
        <v>2021</v>
      </c>
      <c r="G553" s="342">
        <v>2022</v>
      </c>
      <c r="H553" s="213">
        <v>125000000</v>
      </c>
      <c r="I553" s="213"/>
      <c r="J553" s="213">
        <v>125000</v>
      </c>
      <c r="K553" s="213"/>
      <c r="L553" s="213">
        <v>0</v>
      </c>
      <c r="M553" s="213">
        <v>0</v>
      </c>
      <c r="N553" s="213">
        <v>0</v>
      </c>
      <c r="O553" s="213">
        <v>125000</v>
      </c>
      <c r="P553" s="193" t="s">
        <v>627</v>
      </c>
    </row>
    <row r="554" spans="1:16" s="31" customFormat="1" ht="45.75">
      <c r="A554" s="158">
        <v>36</v>
      </c>
      <c r="B554" s="158" t="s">
        <v>56</v>
      </c>
      <c r="C554" s="387" t="s">
        <v>535</v>
      </c>
      <c r="D554" s="342" t="s">
        <v>49</v>
      </c>
      <c r="E554" s="342" t="s">
        <v>473</v>
      </c>
      <c r="F554" s="342">
        <v>2021</v>
      </c>
      <c r="G554" s="342">
        <v>2022</v>
      </c>
      <c r="H554" s="213">
        <v>600000</v>
      </c>
      <c r="I554" s="213"/>
      <c r="J554" s="213">
        <v>6000</v>
      </c>
      <c r="K554" s="213"/>
      <c r="L554" s="213">
        <v>0</v>
      </c>
      <c r="M554" s="213">
        <v>0</v>
      </c>
      <c r="N554" s="213">
        <v>0</v>
      </c>
      <c r="O554" s="213">
        <v>6000</v>
      </c>
      <c r="P554" s="193" t="s">
        <v>627</v>
      </c>
    </row>
    <row r="555" spans="1:16" s="31" customFormat="1" ht="45.75">
      <c r="A555" s="200">
        <v>37</v>
      </c>
      <c r="B555" s="158" t="s">
        <v>56</v>
      </c>
      <c r="C555" s="387" t="s">
        <v>536</v>
      </c>
      <c r="D555" s="342" t="s">
        <v>51</v>
      </c>
      <c r="E555" s="342" t="s">
        <v>537</v>
      </c>
      <c r="F555" s="342">
        <v>2021</v>
      </c>
      <c r="G555" s="342">
        <v>2022</v>
      </c>
      <c r="H555" s="213">
        <v>15000000</v>
      </c>
      <c r="I555" s="213"/>
      <c r="J555" s="213">
        <v>150000</v>
      </c>
      <c r="K555" s="213"/>
      <c r="L555" s="213">
        <v>0</v>
      </c>
      <c r="M555" s="213">
        <v>0</v>
      </c>
      <c r="N555" s="213">
        <v>0</v>
      </c>
      <c r="O555" s="213">
        <v>150000</v>
      </c>
      <c r="P555" s="193" t="s">
        <v>627</v>
      </c>
    </row>
    <row r="556" spans="1:16" s="31" customFormat="1" ht="30">
      <c r="A556" s="158">
        <v>38</v>
      </c>
      <c r="B556" s="158" t="s">
        <v>56</v>
      </c>
      <c r="C556" s="192" t="s">
        <v>538</v>
      </c>
      <c r="D556" s="509" t="s">
        <v>23</v>
      </c>
      <c r="E556" s="509" t="s">
        <v>538</v>
      </c>
      <c r="F556" s="509">
        <v>2020</v>
      </c>
      <c r="G556" s="509">
        <v>2022</v>
      </c>
      <c r="H556" s="213">
        <v>1200000</v>
      </c>
      <c r="I556" s="509">
        <v>0</v>
      </c>
      <c r="J556" s="213">
        <v>600000</v>
      </c>
      <c r="K556" s="213"/>
      <c r="L556" s="213">
        <v>0</v>
      </c>
      <c r="M556" s="213">
        <v>0</v>
      </c>
      <c r="N556" s="213">
        <v>0</v>
      </c>
      <c r="O556" s="213">
        <v>600000</v>
      </c>
      <c r="P556" s="193" t="s">
        <v>634</v>
      </c>
    </row>
    <row r="557" spans="1:16" s="31" customFormat="1" ht="90.75">
      <c r="A557" s="158">
        <v>39</v>
      </c>
      <c r="B557" s="158" t="s">
        <v>56</v>
      </c>
      <c r="C557" s="387" t="s">
        <v>539</v>
      </c>
      <c r="D557" s="342" t="s">
        <v>540</v>
      </c>
      <c r="E557" s="342" t="s">
        <v>484</v>
      </c>
      <c r="F557" s="342">
        <v>2018</v>
      </c>
      <c r="G557" s="342">
        <v>2023</v>
      </c>
      <c r="H557" s="213">
        <v>7140000</v>
      </c>
      <c r="I557" s="213">
        <v>0</v>
      </c>
      <c r="J557" s="213">
        <v>2000</v>
      </c>
      <c r="K557" s="213"/>
      <c r="L557" s="213">
        <v>0</v>
      </c>
      <c r="M557" s="213">
        <v>0</v>
      </c>
      <c r="N557" s="213">
        <v>0</v>
      </c>
      <c r="O557" s="213">
        <v>2000</v>
      </c>
      <c r="P557" s="193" t="s">
        <v>635</v>
      </c>
    </row>
    <row r="558" spans="1:16" s="31" customFormat="1" ht="47.25">
      <c r="A558" s="200">
        <v>40</v>
      </c>
      <c r="B558" s="158" t="s">
        <v>56</v>
      </c>
      <c r="C558" s="387" t="s">
        <v>541</v>
      </c>
      <c r="D558" s="342" t="s">
        <v>542</v>
      </c>
      <c r="E558" s="342" t="s">
        <v>484</v>
      </c>
      <c r="F558" s="342">
        <v>2017</v>
      </c>
      <c r="G558" s="342">
        <v>2024</v>
      </c>
      <c r="H558" s="213">
        <v>14140000</v>
      </c>
      <c r="I558" s="213">
        <v>0</v>
      </c>
      <c r="J558" s="213">
        <v>1414000</v>
      </c>
      <c r="K558" s="213"/>
      <c r="L558" s="213">
        <v>0</v>
      </c>
      <c r="M558" s="213">
        <v>0</v>
      </c>
      <c r="N558" s="213">
        <v>0</v>
      </c>
      <c r="O558" s="213">
        <v>1414000</v>
      </c>
      <c r="P558" s="193" t="s">
        <v>636</v>
      </c>
    </row>
    <row r="559" spans="1:16" s="31" customFormat="1" ht="31.5">
      <c r="A559" s="158">
        <v>41</v>
      </c>
      <c r="B559" s="158" t="s">
        <v>56</v>
      </c>
      <c r="C559" s="387" t="s">
        <v>543</v>
      </c>
      <c r="D559" s="342" t="s">
        <v>544</v>
      </c>
      <c r="E559" s="342" t="s">
        <v>484</v>
      </c>
      <c r="F559" s="342">
        <v>2017</v>
      </c>
      <c r="G559" s="342">
        <v>2023</v>
      </c>
      <c r="H559" s="213">
        <v>18469500</v>
      </c>
      <c r="I559" s="213">
        <v>0</v>
      </c>
      <c r="J559" s="213">
        <v>1846950</v>
      </c>
      <c r="K559" s="213"/>
      <c r="L559" s="213">
        <v>0</v>
      </c>
      <c r="M559" s="213">
        <v>0</v>
      </c>
      <c r="N559" s="213">
        <v>0</v>
      </c>
      <c r="O559" s="213">
        <v>1846950</v>
      </c>
      <c r="P559" s="193" t="s">
        <v>636</v>
      </c>
    </row>
    <row r="560" spans="1:16" s="31" customFormat="1" ht="31.5">
      <c r="A560" s="158">
        <v>42</v>
      </c>
      <c r="B560" s="158" t="s">
        <v>56</v>
      </c>
      <c r="C560" s="387" t="s">
        <v>545</v>
      </c>
      <c r="D560" s="342" t="s">
        <v>546</v>
      </c>
      <c r="E560" s="342" t="s">
        <v>484</v>
      </c>
      <c r="F560" s="342">
        <v>2018</v>
      </c>
      <c r="G560" s="342">
        <v>2023</v>
      </c>
      <c r="H560" s="213">
        <v>18469500</v>
      </c>
      <c r="I560" s="213">
        <v>0</v>
      </c>
      <c r="J560" s="213">
        <v>1846950</v>
      </c>
      <c r="K560" s="213"/>
      <c r="L560" s="213">
        <v>0</v>
      </c>
      <c r="M560" s="213">
        <v>0</v>
      </c>
      <c r="N560" s="213">
        <v>0</v>
      </c>
      <c r="O560" s="213">
        <v>1846950</v>
      </c>
      <c r="P560" s="193" t="s">
        <v>636</v>
      </c>
    </row>
    <row r="561" spans="1:16" s="31" customFormat="1" ht="31.5">
      <c r="A561" s="200">
        <v>43</v>
      </c>
      <c r="B561" s="158" t="s">
        <v>56</v>
      </c>
      <c r="C561" s="387" t="s">
        <v>547</v>
      </c>
      <c r="D561" s="342" t="s">
        <v>548</v>
      </c>
      <c r="E561" s="342" t="s">
        <v>484</v>
      </c>
      <c r="F561" s="342">
        <v>2018</v>
      </c>
      <c r="G561" s="342">
        <v>2023</v>
      </c>
      <c r="H561" s="213">
        <v>18469500</v>
      </c>
      <c r="I561" s="213">
        <v>0</v>
      </c>
      <c r="J561" s="213">
        <v>1846950</v>
      </c>
      <c r="K561" s="213"/>
      <c r="L561" s="213">
        <v>0</v>
      </c>
      <c r="M561" s="213">
        <v>0</v>
      </c>
      <c r="N561" s="213">
        <v>0</v>
      </c>
      <c r="O561" s="213">
        <v>1846950</v>
      </c>
      <c r="P561" s="193" t="s">
        <v>636</v>
      </c>
    </row>
    <row r="562" spans="1:16" s="31" customFormat="1" ht="47.25">
      <c r="A562" s="158">
        <v>44</v>
      </c>
      <c r="B562" s="158" t="s">
        <v>56</v>
      </c>
      <c r="C562" s="387" t="s">
        <v>549</v>
      </c>
      <c r="D562" s="342" t="s">
        <v>550</v>
      </c>
      <c r="E562" s="342" t="s">
        <v>484</v>
      </c>
      <c r="F562" s="342">
        <v>2018</v>
      </c>
      <c r="G562" s="342">
        <v>2024</v>
      </c>
      <c r="H562" s="213">
        <v>17605000</v>
      </c>
      <c r="I562" s="213">
        <v>0</v>
      </c>
      <c r="J562" s="213">
        <v>1760500</v>
      </c>
      <c r="K562" s="213"/>
      <c r="L562" s="213">
        <v>0</v>
      </c>
      <c r="M562" s="213">
        <v>0</v>
      </c>
      <c r="N562" s="213">
        <v>0</v>
      </c>
      <c r="O562" s="213">
        <v>1760500</v>
      </c>
      <c r="P562" s="193" t="s">
        <v>637</v>
      </c>
    </row>
    <row r="563" spans="1:16" s="31" customFormat="1" ht="47.25">
      <c r="A563" s="158">
        <v>45</v>
      </c>
      <c r="B563" s="158" t="s">
        <v>56</v>
      </c>
      <c r="C563" s="387" t="s">
        <v>551</v>
      </c>
      <c r="D563" s="342" t="s">
        <v>552</v>
      </c>
      <c r="E563" s="342" t="s">
        <v>484</v>
      </c>
      <c r="F563" s="342">
        <v>2018</v>
      </c>
      <c r="G563" s="342">
        <v>2024</v>
      </c>
      <c r="H563" s="213">
        <v>17206000</v>
      </c>
      <c r="I563" s="213">
        <v>0</v>
      </c>
      <c r="J563" s="213">
        <v>1720600</v>
      </c>
      <c r="K563" s="213"/>
      <c r="L563" s="213">
        <v>0</v>
      </c>
      <c r="M563" s="213">
        <v>0</v>
      </c>
      <c r="N563" s="213">
        <v>0</v>
      </c>
      <c r="O563" s="213">
        <v>1720600</v>
      </c>
      <c r="P563" s="193" t="s">
        <v>636</v>
      </c>
    </row>
    <row r="564" spans="1:16" s="31" customFormat="1" ht="45.75">
      <c r="A564" s="200">
        <v>46</v>
      </c>
      <c r="B564" s="158" t="s">
        <v>56</v>
      </c>
      <c r="C564" s="190" t="s">
        <v>553</v>
      </c>
      <c r="D564" s="245" t="s">
        <v>554</v>
      </c>
      <c r="E564" s="342" t="s">
        <v>484</v>
      </c>
      <c r="F564" s="342">
        <v>2018</v>
      </c>
      <c r="G564" s="342">
        <v>2023</v>
      </c>
      <c r="H564" s="213">
        <v>18469500</v>
      </c>
      <c r="I564" s="213">
        <v>0</v>
      </c>
      <c r="J564" s="213">
        <v>2000</v>
      </c>
      <c r="K564" s="213"/>
      <c r="L564" s="213">
        <v>0</v>
      </c>
      <c r="M564" s="213">
        <v>0</v>
      </c>
      <c r="N564" s="213">
        <v>0</v>
      </c>
      <c r="O564" s="213">
        <v>2000</v>
      </c>
      <c r="P564" s="390" t="s">
        <v>637</v>
      </c>
    </row>
    <row r="565" spans="1:16" s="31" customFormat="1" ht="60.75">
      <c r="A565" s="158">
        <v>47</v>
      </c>
      <c r="B565" s="158" t="s">
        <v>56</v>
      </c>
      <c r="C565" s="191" t="s">
        <v>555</v>
      </c>
      <c r="D565" s="342" t="s">
        <v>556</v>
      </c>
      <c r="E565" s="342" t="s">
        <v>557</v>
      </c>
      <c r="F565" s="342">
        <v>2017</v>
      </c>
      <c r="G565" s="342">
        <v>2023</v>
      </c>
      <c r="H565" s="213">
        <v>717500</v>
      </c>
      <c r="I565" s="213">
        <v>0</v>
      </c>
      <c r="J565" s="213">
        <v>71750</v>
      </c>
      <c r="K565" s="213"/>
      <c r="L565" s="213">
        <v>0</v>
      </c>
      <c r="M565" s="213">
        <v>0</v>
      </c>
      <c r="N565" s="213">
        <v>0</v>
      </c>
      <c r="O565" s="213">
        <v>71750</v>
      </c>
      <c r="P565" s="193" t="s">
        <v>638</v>
      </c>
    </row>
    <row r="566" spans="1:16" s="31" customFormat="1" ht="45.75">
      <c r="A566" s="158">
        <v>48</v>
      </c>
      <c r="B566" s="158" t="s">
        <v>56</v>
      </c>
      <c r="C566" s="191" t="s">
        <v>558</v>
      </c>
      <c r="D566" s="342" t="s">
        <v>559</v>
      </c>
      <c r="E566" s="342" t="s">
        <v>478</v>
      </c>
      <c r="F566" s="342">
        <v>2017</v>
      </c>
      <c r="G566" s="342">
        <v>2023</v>
      </c>
      <c r="H566" s="213">
        <v>1400000</v>
      </c>
      <c r="I566" s="213">
        <v>0</v>
      </c>
      <c r="J566" s="213">
        <v>140000</v>
      </c>
      <c r="K566" s="213"/>
      <c r="L566" s="213">
        <v>0</v>
      </c>
      <c r="M566" s="213">
        <v>0</v>
      </c>
      <c r="N566" s="213">
        <v>0</v>
      </c>
      <c r="O566" s="213">
        <v>140000</v>
      </c>
      <c r="P566" s="193" t="s">
        <v>639</v>
      </c>
    </row>
    <row r="567" spans="1:16" s="31" customFormat="1" ht="45.75">
      <c r="A567" s="200">
        <v>49</v>
      </c>
      <c r="B567" s="158" t="s">
        <v>56</v>
      </c>
      <c r="C567" s="190" t="s">
        <v>560</v>
      </c>
      <c r="D567" s="342" t="s">
        <v>561</v>
      </c>
      <c r="E567" s="342" t="s">
        <v>484</v>
      </c>
      <c r="F567" s="342">
        <v>2017</v>
      </c>
      <c r="G567" s="342">
        <v>2023</v>
      </c>
      <c r="H567" s="213">
        <v>7000000</v>
      </c>
      <c r="I567" s="213">
        <v>0</v>
      </c>
      <c r="J567" s="213">
        <v>2000</v>
      </c>
      <c r="K567" s="213"/>
      <c r="L567" s="213">
        <v>0</v>
      </c>
      <c r="M567" s="213">
        <v>0</v>
      </c>
      <c r="N567" s="213">
        <v>0</v>
      </c>
      <c r="O567" s="213">
        <v>2000</v>
      </c>
      <c r="P567" s="193" t="s">
        <v>640</v>
      </c>
    </row>
    <row r="568" spans="1:16" s="31" customFormat="1" ht="31.5">
      <c r="A568" s="158">
        <v>50</v>
      </c>
      <c r="B568" s="158" t="s">
        <v>56</v>
      </c>
      <c r="C568" s="387" t="s">
        <v>562</v>
      </c>
      <c r="D568" s="342" t="s">
        <v>563</v>
      </c>
      <c r="E568" s="342" t="s">
        <v>484</v>
      </c>
      <c r="F568" s="342">
        <v>2017</v>
      </c>
      <c r="G568" s="342">
        <v>2024</v>
      </c>
      <c r="H568" s="213">
        <v>5250000</v>
      </c>
      <c r="I568" s="213">
        <v>0</v>
      </c>
      <c r="J568" s="213">
        <v>2000</v>
      </c>
      <c r="K568" s="213"/>
      <c r="L568" s="213">
        <v>0</v>
      </c>
      <c r="M568" s="213">
        <v>0</v>
      </c>
      <c r="N568" s="213">
        <v>0</v>
      </c>
      <c r="O568" s="213">
        <v>2000</v>
      </c>
      <c r="P568" s="193" t="s">
        <v>641</v>
      </c>
    </row>
    <row r="569" spans="1:16" s="31" customFormat="1" ht="45.75">
      <c r="A569" s="158">
        <v>51</v>
      </c>
      <c r="B569" s="158" t="s">
        <v>56</v>
      </c>
      <c r="C569" s="387" t="s">
        <v>564</v>
      </c>
      <c r="D569" s="342" t="s">
        <v>565</v>
      </c>
      <c r="E569" s="342" t="s">
        <v>484</v>
      </c>
      <c r="F569" s="342">
        <v>2017</v>
      </c>
      <c r="G569" s="342">
        <v>2024</v>
      </c>
      <c r="H569" s="213">
        <v>5250000</v>
      </c>
      <c r="I569" s="213">
        <v>0</v>
      </c>
      <c r="J569" s="213">
        <v>2000</v>
      </c>
      <c r="K569" s="213"/>
      <c r="L569" s="213">
        <v>0</v>
      </c>
      <c r="M569" s="213">
        <v>0</v>
      </c>
      <c r="N569" s="213">
        <v>0</v>
      </c>
      <c r="O569" s="213">
        <v>2000</v>
      </c>
      <c r="P569" s="193" t="s">
        <v>642</v>
      </c>
    </row>
    <row r="570" spans="1:16" s="31" customFormat="1" ht="45.75">
      <c r="A570" s="200">
        <v>52</v>
      </c>
      <c r="B570" s="158" t="s">
        <v>56</v>
      </c>
      <c r="C570" s="387" t="s">
        <v>566</v>
      </c>
      <c r="D570" s="342" t="s">
        <v>567</v>
      </c>
      <c r="E570" s="342" t="s">
        <v>484</v>
      </c>
      <c r="F570" s="342">
        <v>2017</v>
      </c>
      <c r="G570" s="342">
        <v>2023</v>
      </c>
      <c r="H570" s="213">
        <v>5250000</v>
      </c>
      <c r="I570" s="213">
        <v>0</v>
      </c>
      <c r="J570" s="213">
        <v>2000</v>
      </c>
      <c r="K570" s="213"/>
      <c r="L570" s="213">
        <v>0</v>
      </c>
      <c r="M570" s="213">
        <v>0</v>
      </c>
      <c r="N570" s="213">
        <v>0</v>
      </c>
      <c r="O570" s="213">
        <v>2000</v>
      </c>
      <c r="P570" s="193" t="s">
        <v>643</v>
      </c>
    </row>
    <row r="571" spans="1:16" s="31" customFormat="1" ht="31.5">
      <c r="A571" s="158">
        <v>53</v>
      </c>
      <c r="B571" s="158" t="s">
        <v>56</v>
      </c>
      <c r="C571" s="387" t="s">
        <v>568</v>
      </c>
      <c r="D571" s="342" t="s">
        <v>569</v>
      </c>
      <c r="E571" s="342" t="s">
        <v>484</v>
      </c>
      <c r="F571" s="342">
        <v>2017</v>
      </c>
      <c r="G571" s="342">
        <v>2024</v>
      </c>
      <c r="H571" s="213">
        <v>4200000</v>
      </c>
      <c r="I571" s="213">
        <v>0</v>
      </c>
      <c r="J571" s="213">
        <v>2000</v>
      </c>
      <c r="K571" s="213"/>
      <c r="L571" s="213">
        <v>0</v>
      </c>
      <c r="M571" s="213">
        <v>0</v>
      </c>
      <c r="N571" s="213">
        <v>0</v>
      </c>
      <c r="O571" s="213">
        <v>2000</v>
      </c>
      <c r="P571" s="193" t="s">
        <v>644</v>
      </c>
    </row>
    <row r="572" spans="1:16" s="31" customFormat="1" ht="75.75">
      <c r="A572" s="158">
        <v>54</v>
      </c>
      <c r="B572" s="158" t="s">
        <v>56</v>
      </c>
      <c r="C572" s="387" t="s">
        <v>570</v>
      </c>
      <c r="D572" s="342" t="s">
        <v>30</v>
      </c>
      <c r="E572" s="342" t="s">
        <v>571</v>
      </c>
      <c r="F572" s="342">
        <v>2016</v>
      </c>
      <c r="G572" s="342">
        <v>2024</v>
      </c>
      <c r="H572" s="213">
        <v>29750000</v>
      </c>
      <c r="I572" s="213">
        <v>0</v>
      </c>
      <c r="J572" s="213">
        <v>402000</v>
      </c>
      <c r="K572" s="213"/>
      <c r="L572" s="213">
        <v>0</v>
      </c>
      <c r="M572" s="213">
        <v>0</v>
      </c>
      <c r="N572" s="213">
        <v>0</v>
      </c>
      <c r="O572" s="213">
        <v>402000</v>
      </c>
      <c r="P572" s="193" t="s">
        <v>645</v>
      </c>
    </row>
    <row r="573" spans="1:16" s="31" customFormat="1" ht="45.75">
      <c r="A573" s="200">
        <v>55</v>
      </c>
      <c r="B573" s="158" t="s">
        <v>56</v>
      </c>
      <c r="C573" s="387" t="s">
        <v>572</v>
      </c>
      <c r="D573" s="342" t="s">
        <v>38</v>
      </c>
      <c r="E573" s="342" t="s">
        <v>571</v>
      </c>
      <c r="F573" s="342">
        <v>2016</v>
      </c>
      <c r="G573" s="342">
        <v>2024</v>
      </c>
      <c r="H573" s="213">
        <v>16240000</v>
      </c>
      <c r="I573" s="213">
        <v>0</v>
      </c>
      <c r="J573" s="213">
        <v>2002000</v>
      </c>
      <c r="K573" s="213"/>
      <c r="L573" s="213">
        <v>0</v>
      </c>
      <c r="M573" s="213">
        <v>0</v>
      </c>
      <c r="N573" s="213">
        <v>0</v>
      </c>
      <c r="O573" s="213">
        <v>2002000</v>
      </c>
      <c r="P573" s="193" t="s">
        <v>646</v>
      </c>
    </row>
    <row r="574" spans="1:16" s="31" customFormat="1" ht="45.75">
      <c r="A574" s="158">
        <v>56</v>
      </c>
      <c r="B574" s="158" t="s">
        <v>56</v>
      </c>
      <c r="C574" s="387" t="s">
        <v>573</v>
      </c>
      <c r="D574" s="342" t="s">
        <v>30</v>
      </c>
      <c r="E574" s="342" t="s">
        <v>571</v>
      </c>
      <c r="F574" s="342">
        <v>2016</v>
      </c>
      <c r="G574" s="342">
        <v>2024</v>
      </c>
      <c r="H574" s="213">
        <v>11025000</v>
      </c>
      <c r="I574" s="213">
        <v>0</v>
      </c>
      <c r="J574" s="213">
        <v>1616325</v>
      </c>
      <c r="K574" s="213"/>
      <c r="L574" s="213">
        <v>0</v>
      </c>
      <c r="M574" s="213">
        <v>0</v>
      </c>
      <c r="N574" s="213">
        <v>0</v>
      </c>
      <c r="O574" s="213">
        <v>1616325</v>
      </c>
      <c r="P574" s="193" t="s">
        <v>646</v>
      </c>
    </row>
    <row r="575" spans="1:16" s="31" customFormat="1" ht="45.75">
      <c r="A575" s="158">
        <v>57</v>
      </c>
      <c r="B575" s="158" t="s">
        <v>56</v>
      </c>
      <c r="C575" s="190" t="s">
        <v>574</v>
      </c>
      <c r="D575" s="245" t="s">
        <v>575</v>
      </c>
      <c r="E575" s="342" t="s">
        <v>484</v>
      </c>
      <c r="F575" s="342">
        <v>2018</v>
      </c>
      <c r="G575" s="342">
        <v>2024</v>
      </c>
      <c r="H575" s="213">
        <v>8750000</v>
      </c>
      <c r="I575" s="213">
        <v>0</v>
      </c>
      <c r="J575" s="213">
        <v>875000</v>
      </c>
      <c r="K575" s="213"/>
      <c r="L575" s="213">
        <v>0</v>
      </c>
      <c r="M575" s="213">
        <v>0</v>
      </c>
      <c r="N575" s="213">
        <v>0</v>
      </c>
      <c r="O575" s="213">
        <v>875000</v>
      </c>
      <c r="P575" s="193" t="s">
        <v>646</v>
      </c>
    </row>
    <row r="576" spans="1:16" s="31" customFormat="1" ht="45.75">
      <c r="A576" s="200">
        <v>58</v>
      </c>
      <c r="B576" s="158" t="s">
        <v>56</v>
      </c>
      <c r="C576" s="190" t="s">
        <v>576</v>
      </c>
      <c r="D576" s="245" t="s">
        <v>577</v>
      </c>
      <c r="E576" s="342" t="s">
        <v>484</v>
      </c>
      <c r="F576" s="342">
        <v>2018</v>
      </c>
      <c r="G576" s="342">
        <v>2024</v>
      </c>
      <c r="H576" s="213">
        <v>8750000</v>
      </c>
      <c r="I576" s="213">
        <v>0</v>
      </c>
      <c r="J576" s="213">
        <v>2000</v>
      </c>
      <c r="K576" s="213"/>
      <c r="L576" s="213">
        <v>0</v>
      </c>
      <c r="M576" s="213">
        <v>0</v>
      </c>
      <c r="N576" s="213">
        <v>0</v>
      </c>
      <c r="O576" s="213">
        <v>2000</v>
      </c>
      <c r="P576" s="199" t="s">
        <v>646</v>
      </c>
    </row>
    <row r="577" spans="1:16" s="31" customFormat="1" ht="31.5">
      <c r="A577" s="158">
        <v>59</v>
      </c>
      <c r="B577" s="158" t="s">
        <v>56</v>
      </c>
      <c r="C577" s="190" t="s">
        <v>578</v>
      </c>
      <c r="D577" s="245" t="s">
        <v>579</v>
      </c>
      <c r="E577" s="342" t="s">
        <v>484</v>
      </c>
      <c r="F577" s="342">
        <v>2018</v>
      </c>
      <c r="G577" s="342">
        <v>2023</v>
      </c>
      <c r="H577" s="213">
        <v>11550000</v>
      </c>
      <c r="I577" s="213">
        <v>0</v>
      </c>
      <c r="J577" s="213">
        <v>1155000</v>
      </c>
      <c r="K577" s="213"/>
      <c r="L577" s="213">
        <v>0</v>
      </c>
      <c r="M577" s="213">
        <v>0</v>
      </c>
      <c r="N577" s="213">
        <v>0</v>
      </c>
      <c r="O577" s="213">
        <v>1155000</v>
      </c>
      <c r="P577" s="199" t="s">
        <v>647</v>
      </c>
    </row>
    <row r="578" spans="1:16" s="31" customFormat="1" ht="45.75">
      <c r="A578" s="158">
        <v>60</v>
      </c>
      <c r="B578" s="158" t="s">
        <v>56</v>
      </c>
      <c r="C578" s="190" t="s">
        <v>580</v>
      </c>
      <c r="D578" s="245" t="s">
        <v>581</v>
      </c>
      <c r="E578" s="342" t="s">
        <v>478</v>
      </c>
      <c r="F578" s="342">
        <v>2018</v>
      </c>
      <c r="G578" s="342">
        <v>2024</v>
      </c>
      <c r="H578" s="213">
        <v>2100000</v>
      </c>
      <c r="I578" s="213">
        <v>0</v>
      </c>
      <c r="J578" s="213">
        <v>2000</v>
      </c>
      <c r="K578" s="213"/>
      <c r="L578" s="213">
        <v>0</v>
      </c>
      <c r="M578" s="213">
        <v>0</v>
      </c>
      <c r="N578" s="213">
        <v>0</v>
      </c>
      <c r="O578" s="213">
        <v>2000</v>
      </c>
      <c r="P578" s="193" t="s">
        <v>646</v>
      </c>
    </row>
    <row r="579" spans="1:16" s="31" customFormat="1" ht="31.5">
      <c r="A579" s="200">
        <v>61</v>
      </c>
      <c r="B579" s="158" t="s">
        <v>56</v>
      </c>
      <c r="C579" s="190" t="s">
        <v>582</v>
      </c>
      <c r="D579" s="245" t="s">
        <v>583</v>
      </c>
      <c r="E579" s="342" t="s">
        <v>484</v>
      </c>
      <c r="F579" s="342">
        <v>2018</v>
      </c>
      <c r="G579" s="342">
        <v>2023</v>
      </c>
      <c r="H579" s="213">
        <v>4200000</v>
      </c>
      <c r="I579" s="213">
        <v>0</v>
      </c>
      <c r="J579" s="213">
        <v>2000</v>
      </c>
      <c r="K579" s="213"/>
      <c r="L579" s="213">
        <v>0</v>
      </c>
      <c r="M579" s="213">
        <v>0</v>
      </c>
      <c r="N579" s="213">
        <v>0</v>
      </c>
      <c r="O579" s="213">
        <v>2000</v>
      </c>
      <c r="P579" s="193"/>
    </row>
    <row r="580" spans="1:16" s="31" customFormat="1" ht="31.5">
      <c r="A580" s="158">
        <v>62</v>
      </c>
      <c r="B580" s="158" t="s">
        <v>56</v>
      </c>
      <c r="C580" s="190" t="s">
        <v>584</v>
      </c>
      <c r="D580" s="245" t="s">
        <v>585</v>
      </c>
      <c r="E580" s="342" t="s">
        <v>484</v>
      </c>
      <c r="F580" s="342">
        <v>2018</v>
      </c>
      <c r="G580" s="342">
        <v>2024</v>
      </c>
      <c r="H580" s="213">
        <v>8750000</v>
      </c>
      <c r="I580" s="213">
        <v>0</v>
      </c>
      <c r="J580" s="213">
        <v>2000</v>
      </c>
      <c r="K580" s="213"/>
      <c r="L580" s="213">
        <v>0</v>
      </c>
      <c r="M580" s="213">
        <v>0</v>
      </c>
      <c r="N580" s="213">
        <v>0</v>
      </c>
      <c r="O580" s="213">
        <v>2000</v>
      </c>
      <c r="P580" s="193"/>
    </row>
    <row r="581" spans="1:16" s="31" customFormat="1" ht="31.5">
      <c r="A581" s="158">
        <v>63</v>
      </c>
      <c r="B581" s="158" t="s">
        <v>56</v>
      </c>
      <c r="C581" s="190" t="s">
        <v>586</v>
      </c>
      <c r="D581" s="245" t="s">
        <v>587</v>
      </c>
      <c r="E581" s="342" t="s">
        <v>484</v>
      </c>
      <c r="F581" s="342">
        <v>2018</v>
      </c>
      <c r="G581" s="342">
        <v>2023</v>
      </c>
      <c r="H581" s="213">
        <v>5250000</v>
      </c>
      <c r="I581" s="213">
        <v>0</v>
      </c>
      <c r="J581" s="213">
        <v>2000</v>
      </c>
      <c r="K581" s="213"/>
      <c r="L581" s="213">
        <v>0</v>
      </c>
      <c r="M581" s="213">
        <v>0</v>
      </c>
      <c r="N581" s="213">
        <v>0</v>
      </c>
      <c r="O581" s="213">
        <v>2000</v>
      </c>
      <c r="P581" s="193"/>
    </row>
    <row r="582" spans="1:16" s="31" customFormat="1" ht="31.5">
      <c r="A582" s="200">
        <v>64</v>
      </c>
      <c r="B582" s="158" t="s">
        <v>56</v>
      </c>
      <c r="C582" s="190" t="s">
        <v>588</v>
      </c>
      <c r="D582" s="245" t="s">
        <v>589</v>
      </c>
      <c r="E582" s="342" t="s">
        <v>484</v>
      </c>
      <c r="F582" s="342">
        <v>2018</v>
      </c>
      <c r="G582" s="342">
        <v>2023</v>
      </c>
      <c r="H582" s="213">
        <v>5250000</v>
      </c>
      <c r="I582" s="213">
        <v>0</v>
      </c>
      <c r="J582" s="213">
        <v>2000</v>
      </c>
      <c r="K582" s="213"/>
      <c r="L582" s="213">
        <v>0</v>
      </c>
      <c r="M582" s="213">
        <v>0</v>
      </c>
      <c r="N582" s="213">
        <v>0</v>
      </c>
      <c r="O582" s="213">
        <v>2000</v>
      </c>
      <c r="P582" s="193"/>
    </row>
    <row r="583" spans="1:16" s="31" customFormat="1" ht="31.5">
      <c r="A583" s="158">
        <v>65</v>
      </c>
      <c r="B583" s="158" t="s">
        <v>56</v>
      </c>
      <c r="C583" s="190" t="s">
        <v>590</v>
      </c>
      <c r="D583" s="245" t="s">
        <v>591</v>
      </c>
      <c r="E583" s="342" t="s">
        <v>484</v>
      </c>
      <c r="F583" s="342">
        <v>2018</v>
      </c>
      <c r="G583" s="342">
        <v>2023</v>
      </c>
      <c r="H583" s="213">
        <v>7000000</v>
      </c>
      <c r="I583" s="213">
        <v>0</v>
      </c>
      <c r="J583" s="213">
        <v>2000</v>
      </c>
      <c r="K583" s="213"/>
      <c r="L583" s="213">
        <v>0</v>
      </c>
      <c r="M583" s="213">
        <v>0</v>
      </c>
      <c r="N583" s="213">
        <v>0</v>
      </c>
      <c r="O583" s="213">
        <v>2000</v>
      </c>
      <c r="P583" s="193"/>
    </row>
    <row r="584" spans="1:16" s="31" customFormat="1" ht="31.5">
      <c r="A584" s="158">
        <v>66</v>
      </c>
      <c r="B584" s="158" t="s">
        <v>56</v>
      </c>
      <c r="C584" s="190" t="s">
        <v>592</v>
      </c>
      <c r="D584" s="245" t="s">
        <v>593</v>
      </c>
      <c r="E584" s="342" t="s">
        <v>478</v>
      </c>
      <c r="F584" s="342">
        <v>2018</v>
      </c>
      <c r="G584" s="342">
        <v>2024</v>
      </c>
      <c r="H584" s="213">
        <v>8750000</v>
      </c>
      <c r="I584" s="213">
        <v>0</v>
      </c>
      <c r="J584" s="213">
        <v>2000</v>
      </c>
      <c r="K584" s="213"/>
      <c r="L584" s="213">
        <v>0</v>
      </c>
      <c r="M584" s="213">
        <v>0</v>
      </c>
      <c r="N584" s="213">
        <v>0</v>
      </c>
      <c r="O584" s="213">
        <v>2000</v>
      </c>
      <c r="P584" s="193"/>
    </row>
    <row r="585" spans="1:16" s="31" customFormat="1" ht="31.5">
      <c r="A585" s="200">
        <v>67</v>
      </c>
      <c r="B585" s="158" t="s">
        <v>56</v>
      </c>
      <c r="C585" s="190" t="s">
        <v>594</v>
      </c>
      <c r="D585" s="245" t="s">
        <v>595</v>
      </c>
      <c r="E585" s="342" t="s">
        <v>484</v>
      </c>
      <c r="F585" s="342">
        <v>2018</v>
      </c>
      <c r="G585" s="342">
        <v>2023</v>
      </c>
      <c r="H585" s="213">
        <v>10500000</v>
      </c>
      <c r="I585" s="213">
        <v>0</v>
      </c>
      <c r="J585" s="213">
        <v>2000</v>
      </c>
      <c r="K585" s="213"/>
      <c r="L585" s="213">
        <v>0</v>
      </c>
      <c r="M585" s="213">
        <v>0</v>
      </c>
      <c r="N585" s="213">
        <v>0</v>
      </c>
      <c r="O585" s="213">
        <v>2000</v>
      </c>
      <c r="P585" s="199"/>
    </row>
    <row r="586" spans="1:16" s="31" customFormat="1" ht="31.5">
      <c r="A586" s="158">
        <v>68</v>
      </c>
      <c r="B586" s="158" t="s">
        <v>56</v>
      </c>
      <c r="C586" s="192" t="s">
        <v>596</v>
      </c>
      <c r="D586" s="509" t="s">
        <v>597</v>
      </c>
      <c r="E586" s="342" t="s">
        <v>478</v>
      </c>
      <c r="F586" s="342">
        <v>2018</v>
      </c>
      <c r="G586" s="509">
        <v>2023</v>
      </c>
      <c r="H586" s="213">
        <v>1603000</v>
      </c>
      <c r="I586" s="213">
        <v>0</v>
      </c>
      <c r="J586" s="213">
        <v>160300</v>
      </c>
      <c r="K586" s="213"/>
      <c r="L586" s="213">
        <v>0</v>
      </c>
      <c r="M586" s="213">
        <v>0</v>
      </c>
      <c r="N586" s="213">
        <v>0</v>
      </c>
      <c r="O586" s="213">
        <v>160300</v>
      </c>
      <c r="P586" s="199"/>
    </row>
    <row r="587" spans="1:16" s="31" customFormat="1" ht="31.5">
      <c r="A587" s="158">
        <v>69</v>
      </c>
      <c r="B587" s="158" t="s">
        <v>56</v>
      </c>
      <c r="C587" s="192" t="s">
        <v>598</v>
      </c>
      <c r="D587" s="509" t="s">
        <v>599</v>
      </c>
      <c r="E587" s="342" t="s">
        <v>478</v>
      </c>
      <c r="F587" s="342">
        <v>2018</v>
      </c>
      <c r="G587" s="509">
        <v>2023</v>
      </c>
      <c r="H587" s="213">
        <v>2387000</v>
      </c>
      <c r="I587" s="213">
        <v>0</v>
      </c>
      <c r="J587" s="213">
        <v>238700</v>
      </c>
      <c r="K587" s="213"/>
      <c r="L587" s="213">
        <v>0</v>
      </c>
      <c r="M587" s="213">
        <v>0</v>
      </c>
      <c r="N587" s="213">
        <v>0</v>
      </c>
      <c r="O587" s="213">
        <v>238700</v>
      </c>
      <c r="P587" s="199"/>
    </row>
    <row r="588" spans="1:16" s="31" customFormat="1" ht="26.25" customHeight="1">
      <c r="A588" s="200">
        <v>70</v>
      </c>
      <c r="B588" s="158" t="s">
        <v>56</v>
      </c>
      <c r="C588" s="192" t="s">
        <v>600</v>
      </c>
      <c r="D588" s="509" t="s">
        <v>601</v>
      </c>
      <c r="E588" s="342" t="s">
        <v>478</v>
      </c>
      <c r="F588" s="342">
        <v>2019</v>
      </c>
      <c r="G588" s="509">
        <v>2022</v>
      </c>
      <c r="H588" s="213">
        <v>1603000</v>
      </c>
      <c r="I588" s="213">
        <v>0</v>
      </c>
      <c r="J588" s="213">
        <v>160300</v>
      </c>
      <c r="K588" s="213"/>
      <c r="L588" s="213">
        <v>0</v>
      </c>
      <c r="M588" s="213">
        <v>0</v>
      </c>
      <c r="N588" s="213">
        <v>0</v>
      </c>
      <c r="O588" s="213">
        <v>160300</v>
      </c>
      <c r="P588" s="196"/>
    </row>
    <row r="589" spans="1:16" s="31" customFormat="1" ht="31.5">
      <c r="A589" s="158">
        <v>71</v>
      </c>
      <c r="B589" s="158" t="s">
        <v>56</v>
      </c>
      <c r="C589" s="192" t="s">
        <v>602</v>
      </c>
      <c r="D589" s="509" t="s">
        <v>603</v>
      </c>
      <c r="E589" s="342" t="s">
        <v>478</v>
      </c>
      <c r="F589" s="342">
        <v>2019</v>
      </c>
      <c r="G589" s="509">
        <v>2024</v>
      </c>
      <c r="H589" s="213">
        <v>2450000</v>
      </c>
      <c r="I589" s="213">
        <v>0</v>
      </c>
      <c r="J589" s="213">
        <v>2000</v>
      </c>
      <c r="K589" s="213"/>
      <c r="L589" s="213">
        <v>0</v>
      </c>
      <c r="M589" s="213">
        <v>0</v>
      </c>
      <c r="N589" s="213">
        <v>0</v>
      </c>
      <c r="O589" s="213">
        <v>2000</v>
      </c>
      <c r="P589" s="193"/>
    </row>
    <row r="590" spans="1:16" s="31" customFormat="1" ht="32.25" thickBot="1">
      <c r="A590" s="158">
        <v>72</v>
      </c>
      <c r="B590" s="351" t="s">
        <v>56</v>
      </c>
      <c r="C590" s="192" t="s">
        <v>604</v>
      </c>
      <c r="D590" s="509" t="s">
        <v>605</v>
      </c>
      <c r="E590" s="342" t="s">
        <v>478</v>
      </c>
      <c r="F590" s="342">
        <v>2020</v>
      </c>
      <c r="G590" s="509">
        <v>2023</v>
      </c>
      <c r="H590" s="213">
        <v>1750000</v>
      </c>
      <c r="I590" s="213">
        <v>0</v>
      </c>
      <c r="J590" s="213">
        <v>175000</v>
      </c>
      <c r="K590" s="213"/>
      <c r="L590" s="213">
        <v>0</v>
      </c>
      <c r="M590" s="213">
        <v>0</v>
      </c>
      <c r="N590" s="213">
        <v>0</v>
      </c>
      <c r="O590" s="213">
        <v>175000</v>
      </c>
      <c r="P590" s="196"/>
    </row>
    <row r="591" spans="1:16" s="114" customFormat="1" ht="30" customHeight="1" thickBot="1">
      <c r="A591" s="668" t="s">
        <v>20</v>
      </c>
      <c r="B591" s="669"/>
      <c r="C591" s="669"/>
      <c r="D591" s="669"/>
      <c r="E591" s="669"/>
      <c r="F591" s="669"/>
      <c r="G591" s="670"/>
      <c r="H591" s="220">
        <f t="shared" ref="H591:O591" si="34">SUM(H519:H590)</f>
        <v>6973489858.3500004</v>
      </c>
      <c r="I591" s="220">
        <f t="shared" si="34"/>
        <v>273393894.34000003</v>
      </c>
      <c r="J591" s="220">
        <f t="shared" si="34"/>
        <v>546731853.73000002</v>
      </c>
      <c r="K591" s="220">
        <f t="shared" si="34"/>
        <v>303576.91000000003</v>
      </c>
      <c r="L591" s="220">
        <f t="shared" si="34"/>
        <v>39300546.070000008</v>
      </c>
      <c r="M591" s="220">
        <f t="shared" si="34"/>
        <v>10773213</v>
      </c>
      <c r="N591" s="220">
        <f t="shared" si="34"/>
        <v>10601000</v>
      </c>
      <c r="O591" s="220">
        <f t="shared" si="34"/>
        <v>486056777</v>
      </c>
      <c r="P591" s="118"/>
    </row>
    <row r="592" spans="1:16" ht="15.75" thickBot="1">
      <c r="A592" s="671"/>
      <c r="B592" s="672"/>
      <c r="C592" s="672"/>
      <c r="D592" s="672"/>
      <c r="E592" s="672"/>
      <c r="F592" s="672"/>
      <c r="G592" s="672"/>
      <c r="H592" s="672"/>
      <c r="I592" s="672"/>
      <c r="J592" s="672"/>
      <c r="K592" s="672"/>
      <c r="L592" s="672"/>
      <c r="M592" s="672"/>
      <c r="N592" s="672"/>
      <c r="O592" s="672"/>
      <c r="P592" s="673"/>
    </row>
    <row r="593" spans="1:16" s="18" customFormat="1" ht="30" customHeight="1" thickBot="1">
      <c r="A593" s="652" t="s">
        <v>67</v>
      </c>
      <c r="B593" s="653"/>
      <c r="C593" s="653"/>
      <c r="D593" s="653"/>
      <c r="E593" s="653"/>
      <c r="F593" s="653"/>
      <c r="G593" s="653"/>
      <c r="H593" s="653"/>
      <c r="I593" s="653"/>
      <c r="J593" s="653"/>
      <c r="K593" s="653"/>
      <c r="L593" s="653"/>
      <c r="M593" s="653"/>
      <c r="N593" s="653"/>
      <c r="O593" s="653"/>
      <c r="P593" s="654"/>
    </row>
    <row r="594" spans="1:16" s="31" customFormat="1" ht="33.75" customHeight="1">
      <c r="A594" s="200">
        <v>1</v>
      </c>
      <c r="B594" s="200" t="s">
        <v>66</v>
      </c>
      <c r="C594" s="160" t="s">
        <v>383</v>
      </c>
      <c r="D594" s="171" t="s">
        <v>384</v>
      </c>
      <c r="E594" s="171" t="s">
        <v>65</v>
      </c>
      <c r="F594" s="162">
        <v>44197</v>
      </c>
      <c r="G594" s="163">
        <v>44561</v>
      </c>
      <c r="H594" s="168">
        <v>119991</v>
      </c>
      <c r="I594" s="164"/>
      <c r="J594" s="168">
        <v>119991</v>
      </c>
      <c r="K594" s="165"/>
      <c r="L594" s="169">
        <v>22640</v>
      </c>
      <c r="M594" s="144">
        <v>32450</v>
      </c>
      <c r="N594" s="144">
        <v>32450</v>
      </c>
      <c r="O594" s="144">
        <v>32450</v>
      </c>
      <c r="P594" s="170"/>
    </row>
    <row r="595" spans="1:16" s="31" customFormat="1" ht="33.75" customHeight="1">
      <c r="A595" s="158">
        <v>2</v>
      </c>
      <c r="B595" s="200" t="s">
        <v>66</v>
      </c>
      <c r="C595" s="161" t="s">
        <v>385</v>
      </c>
      <c r="D595" s="171" t="s">
        <v>384</v>
      </c>
      <c r="E595" s="171" t="s">
        <v>65</v>
      </c>
      <c r="F595" s="162">
        <v>44197</v>
      </c>
      <c r="G595" s="163">
        <v>44561</v>
      </c>
      <c r="H595" s="144">
        <v>118596</v>
      </c>
      <c r="I595" s="166"/>
      <c r="J595" s="144">
        <v>118596</v>
      </c>
      <c r="K595" s="158"/>
      <c r="L595" s="144">
        <v>3760</v>
      </c>
      <c r="M595" s="144">
        <v>38278</v>
      </c>
      <c r="N595" s="144">
        <v>38278</v>
      </c>
      <c r="O595" s="144">
        <v>38278</v>
      </c>
      <c r="P595" s="171"/>
    </row>
    <row r="596" spans="1:16" s="31" customFormat="1" ht="33.75" customHeight="1">
      <c r="A596" s="158">
        <v>3</v>
      </c>
      <c r="B596" s="200" t="s">
        <v>66</v>
      </c>
      <c r="C596" s="161" t="s">
        <v>386</v>
      </c>
      <c r="D596" s="171" t="s">
        <v>384</v>
      </c>
      <c r="E596" s="171" t="s">
        <v>65</v>
      </c>
      <c r="F596" s="162">
        <v>44197</v>
      </c>
      <c r="G596" s="163">
        <v>44561</v>
      </c>
      <c r="H596" s="144">
        <v>300000</v>
      </c>
      <c r="I596" s="166"/>
      <c r="J596" s="144">
        <v>300000</v>
      </c>
      <c r="K596" s="158"/>
      <c r="L596" s="158">
        <v>0</v>
      </c>
      <c r="M596" s="144">
        <v>100000</v>
      </c>
      <c r="N596" s="144">
        <v>100000</v>
      </c>
      <c r="O596" s="144">
        <v>100000</v>
      </c>
      <c r="P596" s="171"/>
    </row>
    <row r="597" spans="1:16" s="31" customFormat="1" ht="33.75" customHeight="1">
      <c r="A597" s="200">
        <v>4</v>
      </c>
      <c r="B597" s="200" t="s">
        <v>66</v>
      </c>
      <c r="C597" s="161" t="s">
        <v>387</v>
      </c>
      <c r="D597" s="171" t="s">
        <v>384</v>
      </c>
      <c r="E597" s="171" t="s">
        <v>65</v>
      </c>
      <c r="F597" s="162">
        <v>44197</v>
      </c>
      <c r="G597" s="163">
        <v>44561</v>
      </c>
      <c r="H597" s="144">
        <v>1016723</v>
      </c>
      <c r="I597" s="167"/>
      <c r="J597" s="144">
        <v>1016723</v>
      </c>
      <c r="K597" s="158"/>
      <c r="L597" s="144">
        <v>973723</v>
      </c>
      <c r="M597" s="144">
        <v>14333</v>
      </c>
      <c r="N597" s="144">
        <v>14333</v>
      </c>
      <c r="O597" s="144">
        <v>14333</v>
      </c>
      <c r="P597" s="171"/>
    </row>
    <row r="598" spans="1:16" s="31" customFormat="1" ht="33.75" customHeight="1">
      <c r="A598" s="158">
        <v>5</v>
      </c>
      <c r="B598" s="200" t="s">
        <v>66</v>
      </c>
      <c r="C598" s="161" t="s">
        <v>388</v>
      </c>
      <c r="D598" s="171" t="s">
        <v>384</v>
      </c>
      <c r="E598" s="171" t="s">
        <v>65</v>
      </c>
      <c r="F598" s="162">
        <v>44197</v>
      </c>
      <c r="G598" s="163">
        <v>44561</v>
      </c>
      <c r="H598" s="144">
        <v>495</v>
      </c>
      <c r="I598" s="167"/>
      <c r="J598" s="144">
        <v>495</v>
      </c>
      <c r="K598" s="158"/>
      <c r="L598" s="158">
        <v>36</v>
      </c>
      <c r="M598" s="144">
        <v>153</v>
      </c>
      <c r="N598" s="144">
        <v>153</v>
      </c>
      <c r="O598" s="144">
        <v>153</v>
      </c>
      <c r="P598" s="171"/>
    </row>
    <row r="599" spans="1:16" s="31" customFormat="1" ht="33.75" customHeight="1">
      <c r="A599" s="158">
        <v>6</v>
      </c>
      <c r="B599" s="200" t="s">
        <v>66</v>
      </c>
      <c r="C599" s="161" t="s">
        <v>389</v>
      </c>
      <c r="D599" s="171" t="s">
        <v>384</v>
      </c>
      <c r="E599" s="171" t="s">
        <v>65</v>
      </c>
      <c r="F599" s="162">
        <v>44197</v>
      </c>
      <c r="G599" s="163">
        <v>44561</v>
      </c>
      <c r="H599" s="144">
        <v>2496</v>
      </c>
      <c r="I599" s="167"/>
      <c r="J599" s="144">
        <v>2496</v>
      </c>
      <c r="K599" s="158"/>
      <c r="L599" s="158">
        <v>624</v>
      </c>
      <c r="M599" s="144">
        <v>624</v>
      </c>
      <c r="N599" s="144">
        <v>624</v>
      </c>
      <c r="O599" s="144">
        <v>624</v>
      </c>
      <c r="P599" s="171"/>
    </row>
    <row r="600" spans="1:16" s="31" customFormat="1" ht="33.75" customHeight="1">
      <c r="A600" s="200">
        <v>7</v>
      </c>
      <c r="B600" s="200" t="s">
        <v>66</v>
      </c>
      <c r="C600" s="161" t="s">
        <v>390</v>
      </c>
      <c r="D600" s="171" t="s">
        <v>384</v>
      </c>
      <c r="E600" s="171" t="s">
        <v>65</v>
      </c>
      <c r="F600" s="162">
        <v>44197</v>
      </c>
      <c r="G600" s="163">
        <v>44561</v>
      </c>
      <c r="H600" s="144">
        <v>124996</v>
      </c>
      <c r="I600" s="167"/>
      <c r="J600" s="144">
        <v>124996</v>
      </c>
      <c r="K600" s="158"/>
      <c r="L600" s="144">
        <v>15000</v>
      </c>
      <c r="M600" s="144">
        <v>36666</v>
      </c>
      <c r="N600" s="144">
        <v>36666</v>
      </c>
      <c r="O600" s="144">
        <v>36666</v>
      </c>
      <c r="P600" s="171"/>
    </row>
    <row r="601" spans="1:16" s="31" customFormat="1" ht="33.75" customHeight="1">
      <c r="A601" s="158">
        <v>8</v>
      </c>
      <c r="B601" s="200" t="s">
        <v>66</v>
      </c>
      <c r="C601" s="161" t="s">
        <v>391</v>
      </c>
      <c r="D601" s="171" t="s">
        <v>384</v>
      </c>
      <c r="E601" s="171" t="s">
        <v>65</v>
      </c>
      <c r="F601" s="162">
        <v>44197</v>
      </c>
      <c r="G601" s="163">
        <v>44561</v>
      </c>
      <c r="H601" s="144">
        <v>130993</v>
      </c>
      <c r="I601" s="167"/>
      <c r="J601" s="144">
        <v>130993</v>
      </c>
      <c r="K601" s="158"/>
      <c r="L601" s="144">
        <v>15712</v>
      </c>
      <c r="M601" s="144">
        <v>38427</v>
      </c>
      <c r="N601" s="144">
        <v>38427</v>
      </c>
      <c r="O601" s="144">
        <v>38427</v>
      </c>
      <c r="P601" s="171"/>
    </row>
    <row r="602" spans="1:16" s="31" customFormat="1" ht="33.75" customHeight="1">
      <c r="A602" s="158">
        <v>9</v>
      </c>
      <c r="B602" s="200" t="s">
        <v>66</v>
      </c>
      <c r="C602" s="161" t="s">
        <v>392</v>
      </c>
      <c r="D602" s="171" t="s">
        <v>384</v>
      </c>
      <c r="E602" s="171" t="s">
        <v>65</v>
      </c>
      <c r="F602" s="162">
        <v>44197</v>
      </c>
      <c r="G602" s="163">
        <v>44561</v>
      </c>
      <c r="H602" s="144">
        <v>69994</v>
      </c>
      <c r="I602" s="166"/>
      <c r="J602" s="144">
        <v>69994</v>
      </c>
      <c r="K602" s="158"/>
      <c r="L602" s="144">
        <v>8398</v>
      </c>
      <c r="M602" s="144">
        <v>20532</v>
      </c>
      <c r="N602" s="144">
        <v>20532</v>
      </c>
      <c r="O602" s="144">
        <v>20532</v>
      </c>
      <c r="P602" s="171"/>
    </row>
    <row r="603" spans="1:16" s="31" customFormat="1" ht="33.75" customHeight="1">
      <c r="A603" s="200">
        <v>10</v>
      </c>
      <c r="B603" s="200" t="s">
        <v>66</v>
      </c>
      <c r="C603" s="161" t="s">
        <v>393</v>
      </c>
      <c r="D603" s="171" t="s">
        <v>384</v>
      </c>
      <c r="E603" s="171" t="s">
        <v>65</v>
      </c>
      <c r="F603" s="162">
        <v>44197</v>
      </c>
      <c r="G603" s="163">
        <v>44561</v>
      </c>
      <c r="H603" s="144">
        <v>99998</v>
      </c>
      <c r="I603" s="167"/>
      <c r="J603" s="144">
        <v>99998</v>
      </c>
      <c r="K603" s="158"/>
      <c r="L603" s="144">
        <v>12000</v>
      </c>
      <c r="M603" s="144">
        <v>29332</v>
      </c>
      <c r="N603" s="144">
        <v>29332</v>
      </c>
      <c r="O603" s="144">
        <v>29332</v>
      </c>
      <c r="P603" s="171"/>
    </row>
    <row r="604" spans="1:16" s="31" customFormat="1" ht="33.75" customHeight="1">
      <c r="A604" s="158">
        <v>11</v>
      </c>
      <c r="B604" s="200" t="s">
        <v>66</v>
      </c>
      <c r="C604" s="161" t="s">
        <v>394</v>
      </c>
      <c r="D604" s="171" t="s">
        <v>384</v>
      </c>
      <c r="E604" s="171" t="s">
        <v>65</v>
      </c>
      <c r="F604" s="162">
        <v>44197</v>
      </c>
      <c r="G604" s="163">
        <v>44561</v>
      </c>
      <c r="H604" s="144">
        <v>1995</v>
      </c>
      <c r="I604" s="167"/>
      <c r="J604" s="144">
        <v>1995</v>
      </c>
      <c r="K604" s="158"/>
      <c r="L604" s="158">
        <v>240</v>
      </c>
      <c r="M604" s="144">
        <v>585</v>
      </c>
      <c r="N604" s="144">
        <v>585</v>
      </c>
      <c r="O604" s="144">
        <v>585</v>
      </c>
      <c r="P604" s="171"/>
    </row>
    <row r="605" spans="1:16" s="31" customFormat="1" ht="33.75" customHeight="1">
      <c r="A605" s="158">
        <v>12</v>
      </c>
      <c r="B605" s="200" t="s">
        <v>66</v>
      </c>
      <c r="C605" s="140" t="s">
        <v>395</v>
      </c>
      <c r="D605" s="171" t="s">
        <v>384</v>
      </c>
      <c r="E605" s="171" t="s">
        <v>65</v>
      </c>
      <c r="F605" s="162">
        <v>44197</v>
      </c>
      <c r="G605" s="163">
        <v>44561</v>
      </c>
      <c r="H605" s="144">
        <v>387845</v>
      </c>
      <c r="I605" s="167"/>
      <c r="J605" s="144">
        <v>387845</v>
      </c>
      <c r="K605" s="158"/>
      <c r="L605" s="158">
        <v>0</v>
      </c>
      <c r="M605" s="144">
        <v>129828</v>
      </c>
      <c r="N605" s="144">
        <v>129828</v>
      </c>
      <c r="O605" s="144">
        <v>129828</v>
      </c>
      <c r="P605" s="171"/>
    </row>
    <row r="606" spans="1:16" s="31" customFormat="1" ht="33.75" customHeight="1">
      <c r="A606" s="200">
        <v>13</v>
      </c>
      <c r="B606" s="200" t="s">
        <v>66</v>
      </c>
      <c r="C606" s="140" t="s">
        <v>396</v>
      </c>
      <c r="D606" s="171" t="s">
        <v>384</v>
      </c>
      <c r="E606" s="171" t="s">
        <v>65</v>
      </c>
      <c r="F606" s="162">
        <v>44197</v>
      </c>
      <c r="G606" s="163">
        <v>44561</v>
      </c>
      <c r="H606" s="144">
        <v>845089</v>
      </c>
      <c r="I606" s="167"/>
      <c r="J606" s="144">
        <v>845089</v>
      </c>
      <c r="K606" s="158"/>
      <c r="L606" s="144">
        <v>640150</v>
      </c>
      <c r="M606" s="144">
        <v>68313</v>
      </c>
      <c r="N606" s="144">
        <v>68313</v>
      </c>
      <c r="O606" s="144">
        <v>68313</v>
      </c>
      <c r="P606" s="171"/>
    </row>
    <row r="607" spans="1:16" s="31" customFormat="1" ht="33.75" customHeight="1">
      <c r="A607" s="158">
        <v>14</v>
      </c>
      <c r="B607" s="200" t="s">
        <v>66</v>
      </c>
      <c r="C607" s="161" t="s">
        <v>397</v>
      </c>
      <c r="D607" s="171" t="s">
        <v>384</v>
      </c>
      <c r="E607" s="171" t="s">
        <v>65</v>
      </c>
      <c r="F607" s="162">
        <v>44197</v>
      </c>
      <c r="G607" s="163">
        <v>44561</v>
      </c>
      <c r="H607" s="144">
        <v>100000</v>
      </c>
      <c r="I607" s="166"/>
      <c r="J607" s="144">
        <v>100000</v>
      </c>
      <c r="K607" s="158"/>
      <c r="L607" s="144">
        <v>12000</v>
      </c>
      <c r="M607" s="144">
        <v>29333</v>
      </c>
      <c r="N607" s="144">
        <v>29333</v>
      </c>
      <c r="O607" s="144">
        <v>29333</v>
      </c>
      <c r="P607" s="171"/>
    </row>
    <row r="608" spans="1:16" s="31" customFormat="1" ht="33.75" customHeight="1" thickBot="1">
      <c r="A608" s="158">
        <v>15</v>
      </c>
      <c r="B608" s="200" t="s">
        <v>66</v>
      </c>
      <c r="C608" s="161" t="s">
        <v>398</v>
      </c>
      <c r="D608" s="171" t="s">
        <v>384</v>
      </c>
      <c r="E608" s="171" t="s">
        <v>65</v>
      </c>
      <c r="F608" s="162">
        <v>44197</v>
      </c>
      <c r="G608" s="163">
        <v>44561</v>
      </c>
      <c r="H608" s="144">
        <v>299996</v>
      </c>
      <c r="I608" s="167"/>
      <c r="J608" s="144">
        <v>299996</v>
      </c>
      <c r="K608" s="158"/>
      <c r="L608" s="144">
        <v>22254</v>
      </c>
      <c r="M608" s="144">
        <v>92580</v>
      </c>
      <c r="N608" s="144">
        <v>92580</v>
      </c>
      <c r="O608" s="144">
        <v>92580</v>
      </c>
      <c r="P608" s="171"/>
    </row>
    <row r="609" spans="1:16" s="111" customFormat="1" ht="30" customHeight="1" thickBot="1">
      <c r="A609" s="668" t="s">
        <v>20</v>
      </c>
      <c r="B609" s="669"/>
      <c r="C609" s="669"/>
      <c r="D609" s="669"/>
      <c r="E609" s="669"/>
      <c r="F609" s="669"/>
      <c r="G609" s="670"/>
      <c r="H609" s="220">
        <f t="shared" ref="H609:O609" si="35">SUM(H594:H608)</f>
        <v>3619207</v>
      </c>
      <c r="I609" s="220">
        <f t="shared" si="35"/>
        <v>0</v>
      </c>
      <c r="J609" s="220">
        <f t="shared" si="35"/>
        <v>3619207</v>
      </c>
      <c r="K609" s="220">
        <f t="shared" si="35"/>
        <v>0</v>
      </c>
      <c r="L609" s="220">
        <f t="shared" si="35"/>
        <v>1726537</v>
      </c>
      <c r="M609" s="220">
        <f t="shared" si="35"/>
        <v>631434</v>
      </c>
      <c r="N609" s="220">
        <f t="shared" si="35"/>
        <v>631434</v>
      </c>
      <c r="O609" s="220">
        <f t="shared" si="35"/>
        <v>631434</v>
      </c>
      <c r="P609" s="118"/>
    </row>
    <row r="610" spans="1:16" ht="15.75" thickBot="1">
      <c r="A610" s="671"/>
      <c r="B610" s="672"/>
      <c r="C610" s="672"/>
      <c r="D610" s="672"/>
      <c r="E610" s="672"/>
      <c r="F610" s="672"/>
      <c r="G610" s="672"/>
      <c r="H610" s="672"/>
      <c r="I610" s="672"/>
      <c r="J610" s="672"/>
      <c r="K610" s="672"/>
      <c r="L610" s="672"/>
      <c r="M610" s="672"/>
      <c r="N610" s="672"/>
      <c r="O610" s="672"/>
      <c r="P610" s="673"/>
    </row>
    <row r="611" spans="1:16" ht="30" customHeight="1" thickBot="1">
      <c r="A611" s="652" t="s">
        <v>2015</v>
      </c>
      <c r="B611" s="653"/>
      <c r="C611" s="653"/>
      <c r="D611" s="653"/>
      <c r="E611" s="658"/>
      <c r="F611" s="653"/>
      <c r="G611" s="653"/>
      <c r="H611" s="653"/>
      <c r="I611" s="653"/>
      <c r="J611" s="653"/>
      <c r="K611" s="653"/>
      <c r="L611" s="653"/>
      <c r="M611" s="653"/>
      <c r="N611" s="653"/>
      <c r="O611" s="653"/>
      <c r="P611" s="654"/>
    </row>
    <row r="612" spans="1:16" s="31" customFormat="1" ht="43.5" customHeight="1">
      <c r="A612" s="200">
        <v>1</v>
      </c>
      <c r="B612" s="200" t="s">
        <v>36</v>
      </c>
      <c r="C612" s="312" t="s">
        <v>1761</v>
      </c>
      <c r="D612" s="165" t="s">
        <v>1762</v>
      </c>
      <c r="E612" s="259"/>
      <c r="F612" s="162">
        <v>43087</v>
      </c>
      <c r="G612" s="342">
        <v>2021</v>
      </c>
      <c r="H612" s="169">
        <v>1794132.27</v>
      </c>
      <c r="I612" s="169">
        <v>686221.15</v>
      </c>
      <c r="J612" s="169">
        <v>1107910</v>
      </c>
      <c r="K612" s="147"/>
      <c r="L612" s="147">
        <f t="shared" ref="L612:L630" si="36">J612/4</f>
        <v>276977.5</v>
      </c>
      <c r="M612" s="147">
        <v>276977.5</v>
      </c>
      <c r="N612" s="147">
        <v>276977.5</v>
      </c>
      <c r="O612" s="147">
        <v>276977.5</v>
      </c>
      <c r="P612" s="366"/>
    </row>
    <row r="613" spans="1:16" s="31" customFormat="1" ht="51.75" customHeight="1">
      <c r="A613" s="158">
        <v>2</v>
      </c>
      <c r="B613" s="200" t="s">
        <v>36</v>
      </c>
      <c r="C613" s="312" t="s">
        <v>1763</v>
      </c>
      <c r="D613" s="165" t="s">
        <v>853</v>
      </c>
      <c r="E613" s="259"/>
      <c r="F613" s="162">
        <v>41155</v>
      </c>
      <c r="G613" s="162">
        <v>44331</v>
      </c>
      <c r="H613" s="169">
        <v>7056172.3200000003</v>
      </c>
      <c r="I613" s="169">
        <v>5207400.46</v>
      </c>
      <c r="J613" s="169">
        <v>1800000</v>
      </c>
      <c r="K613" s="141"/>
      <c r="L613" s="147">
        <f t="shared" si="36"/>
        <v>450000</v>
      </c>
      <c r="M613" s="141">
        <v>450000</v>
      </c>
      <c r="N613" s="141">
        <v>450000</v>
      </c>
      <c r="O613" s="141">
        <v>450000</v>
      </c>
      <c r="P613" s="140"/>
    </row>
    <row r="614" spans="1:16" s="31" customFormat="1" ht="33.75" customHeight="1">
      <c r="A614" s="158">
        <v>3</v>
      </c>
      <c r="B614" s="200" t="s">
        <v>36</v>
      </c>
      <c r="C614" s="312" t="s">
        <v>1764</v>
      </c>
      <c r="D614" s="165" t="s">
        <v>853</v>
      </c>
      <c r="E614" s="259"/>
      <c r="F614" s="162">
        <v>42984</v>
      </c>
      <c r="G614" s="162">
        <v>44340</v>
      </c>
      <c r="H614" s="169">
        <v>4389450.8361999998</v>
      </c>
      <c r="I614" s="169">
        <v>1989966.16</v>
      </c>
      <c r="J614" s="169">
        <v>2300000</v>
      </c>
      <c r="K614" s="141"/>
      <c r="L614" s="147">
        <f t="shared" si="36"/>
        <v>575000</v>
      </c>
      <c r="M614" s="141">
        <v>575000</v>
      </c>
      <c r="N614" s="141">
        <v>575000</v>
      </c>
      <c r="O614" s="141">
        <v>575000</v>
      </c>
      <c r="P614" s="140"/>
    </row>
    <row r="615" spans="1:16" s="31" customFormat="1" ht="44.25" customHeight="1">
      <c r="A615" s="200">
        <v>4</v>
      </c>
      <c r="B615" s="200" t="s">
        <v>36</v>
      </c>
      <c r="C615" s="312" t="s">
        <v>1765</v>
      </c>
      <c r="D615" s="165" t="s">
        <v>853</v>
      </c>
      <c r="E615" s="259"/>
      <c r="F615" s="162">
        <v>43047</v>
      </c>
      <c r="G615" s="342">
        <v>2021</v>
      </c>
      <c r="H615" s="169">
        <v>29677446.004599996</v>
      </c>
      <c r="I615" s="169">
        <v>22344547.289999999</v>
      </c>
      <c r="J615" s="169">
        <v>7330000</v>
      </c>
      <c r="K615" s="141"/>
      <c r="L615" s="147">
        <f t="shared" si="36"/>
        <v>1832500</v>
      </c>
      <c r="M615" s="141">
        <v>1832500</v>
      </c>
      <c r="N615" s="141">
        <v>1832500</v>
      </c>
      <c r="O615" s="141">
        <v>1832500</v>
      </c>
      <c r="P615" s="140"/>
    </row>
    <row r="616" spans="1:16" s="31" customFormat="1" ht="57" customHeight="1">
      <c r="A616" s="158">
        <v>5</v>
      </c>
      <c r="B616" s="200" t="s">
        <v>36</v>
      </c>
      <c r="C616" s="312" t="s">
        <v>1766</v>
      </c>
      <c r="D616" s="165" t="s">
        <v>853</v>
      </c>
      <c r="E616" s="259"/>
      <c r="F616" s="162">
        <v>43027</v>
      </c>
      <c r="G616" s="342">
        <v>2021</v>
      </c>
      <c r="H616" s="169">
        <v>63812078.18</v>
      </c>
      <c r="I616" s="169">
        <v>30417804.18</v>
      </c>
      <c r="J616" s="169">
        <v>30000000</v>
      </c>
      <c r="K616" s="141"/>
      <c r="L616" s="147">
        <f t="shared" si="36"/>
        <v>7500000</v>
      </c>
      <c r="M616" s="141">
        <v>7500000</v>
      </c>
      <c r="N616" s="141">
        <v>7500000</v>
      </c>
      <c r="O616" s="141">
        <v>7500000</v>
      </c>
      <c r="P616" s="140"/>
    </row>
    <row r="617" spans="1:16" s="31" customFormat="1" ht="38.25" customHeight="1">
      <c r="A617" s="158">
        <v>6</v>
      </c>
      <c r="B617" s="200" t="s">
        <v>36</v>
      </c>
      <c r="C617" s="312" t="s">
        <v>1767</v>
      </c>
      <c r="D617" s="165" t="s">
        <v>1210</v>
      </c>
      <c r="E617" s="259"/>
      <c r="F617" s="162">
        <v>43322</v>
      </c>
      <c r="G617" s="162">
        <v>44245</v>
      </c>
      <c r="H617" s="169">
        <v>3396020.12</v>
      </c>
      <c r="I617" s="169">
        <v>0</v>
      </c>
      <c r="J617" s="169">
        <v>3300000</v>
      </c>
      <c r="K617" s="141"/>
      <c r="L617" s="147">
        <f t="shared" si="36"/>
        <v>825000</v>
      </c>
      <c r="M617" s="141">
        <v>825000</v>
      </c>
      <c r="N617" s="141">
        <v>825000</v>
      </c>
      <c r="O617" s="141">
        <v>825000</v>
      </c>
      <c r="P617" s="140"/>
    </row>
    <row r="618" spans="1:16" s="31" customFormat="1" ht="31.5" customHeight="1">
      <c r="A618" s="200">
        <v>7</v>
      </c>
      <c r="B618" s="200" t="s">
        <v>36</v>
      </c>
      <c r="C618" s="312" t="s">
        <v>1768</v>
      </c>
      <c r="D618" s="165" t="s">
        <v>966</v>
      </c>
      <c r="E618" s="259"/>
      <c r="F618" s="162">
        <v>43980</v>
      </c>
      <c r="G618" s="162">
        <v>44288</v>
      </c>
      <c r="H618" s="169">
        <v>19930200</v>
      </c>
      <c r="I618" s="169">
        <v>4639730</v>
      </c>
      <c r="J618" s="169">
        <v>13000000</v>
      </c>
      <c r="K618" s="141"/>
      <c r="L618" s="147">
        <f t="shared" si="36"/>
        <v>3250000</v>
      </c>
      <c r="M618" s="141">
        <v>3250000</v>
      </c>
      <c r="N618" s="141">
        <v>3250000</v>
      </c>
      <c r="O618" s="141">
        <v>3250000</v>
      </c>
      <c r="P618" s="140"/>
    </row>
    <row r="619" spans="1:16" s="31" customFormat="1" ht="39.75" customHeight="1">
      <c r="A619" s="158">
        <v>8</v>
      </c>
      <c r="B619" s="200" t="s">
        <v>36</v>
      </c>
      <c r="C619" s="140" t="s">
        <v>1769</v>
      </c>
      <c r="D619" s="171" t="s">
        <v>1216</v>
      </c>
      <c r="E619" s="259"/>
      <c r="F619" s="155">
        <v>44148</v>
      </c>
      <c r="G619" s="155">
        <v>44226</v>
      </c>
      <c r="H619" s="176">
        <v>701639.64</v>
      </c>
      <c r="I619" s="176">
        <v>0</v>
      </c>
      <c r="J619" s="176">
        <v>701639.64</v>
      </c>
      <c r="K619" s="141"/>
      <c r="L619" s="147">
        <f t="shared" si="36"/>
        <v>175409.91</v>
      </c>
      <c r="M619" s="141">
        <v>175409.91</v>
      </c>
      <c r="N619" s="141">
        <v>175409.91</v>
      </c>
      <c r="O619" s="141">
        <v>175409.91</v>
      </c>
      <c r="P619" s="140"/>
    </row>
    <row r="620" spans="1:16" s="31" customFormat="1" ht="69" customHeight="1">
      <c r="A620" s="158">
        <v>9</v>
      </c>
      <c r="B620" s="200" t="s">
        <v>36</v>
      </c>
      <c r="C620" s="312" t="s">
        <v>1770</v>
      </c>
      <c r="D620" s="165" t="s">
        <v>1216</v>
      </c>
      <c r="E620" s="259"/>
      <c r="F620" s="162">
        <v>43987</v>
      </c>
      <c r="G620" s="162">
        <v>44226</v>
      </c>
      <c r="H620" s="169">
        <v>25189383.100000001</v>
      </c>
      <c r="I620" s="169">
        <v>0</v>
      </c>
      <c r="J620" s="169">
        <v>25000000</v>
      </c>
      <c r="K620" s="141"/>
      <c r="L620" s="147">
        <f t="shared" si="36"/>
        <v>6250000</v>
      </c>
      <c r="M620" s="141">
        <v>6250000</v>
      </c>
      <c r="N620" s="141">
        <v>6250000</v>
      </c>
      <c r="O620" s="141">
        <v>6250000</v>
      </c>
      <c r="P620" s="140"/>
    </row>
    <row r="621" spans="1:16" s="31" customFormat="1" ht="39.75" customHeight="1">
      <c r="A621" s="200">
        <v>10</v>
      </c>
      <c r="B621" s="200" t="s">
        <v>36</v>
      </c>
      <c r="C621" s="312" t="s">
        <v>1771</v>
      </c>
      <c r="D621" s="165" t="s">
        <v>853</v>
      </c>
      <c r="E621" s="259"/>
      <c r="F621" s="162">
        <v>41607</v>
      </c>
      <c r="G621" s="342">
        <v>2021</v>
      </c>
      <c r="H621" s="169">
        <v>688000</v>
      </c>
      <c r="I621" s="169">
        <v>0</v>
      </c>
      <c r="J621" s="169">
        <v>688000</v>
      </c>
      <c r="K621" s="141"/>
      <c r="L621" s="147">
        <f t="shared" si="36"/>
        <v>172000</v>
      </c>
      <c r="M621" s="141">
        <v>172000</v>
      </c>
      <c r="N621" s="141">
        <v>172000</v>
      </c>
      <c r="O621" s="141">
        <v>172000</v>
      </c>
      <c r="P621" s="140"/>
    </row>
    <row r="622" spans="1:16" s="31" customFormat="1" ht="33" customHeight="1">
      <c r="A622" s="158">
        <v>11</v>
      </c>
      <c r="B622" s="200" t="s">
        <v>36</v>
      </c>
      <c r="C622" s="140" t="s">
        <v>1772</v>
      </c>
      <c r="D622" s="171" t="s">
        <v>1216</v>
      </c>
      <c r="E622" s="259"/>
      <c r="F622" s="155">
        <v>44172</v>
      </c>
      <c r="G622" s="155">
        <v>44341</v>
      </c>
      <c r="H622" s="176">
        <v>1747633.74</v>
      </c>
      <c r="I622" s="176">
        <v>0</v>
      </c>
      <c r="J622" s="176">
        <v>1747633.74</v>
      </c>
      <c r="K622" s="141"/>
      <c r="L622" s="147">
        <f t="shared" si="36"/>
        <v>436908.435</v>
      </c>
      <c r="M622" s="141">
        <v>436908.435</v>
      </c>
      <c r="N622" s="141">
        <v>436908.435</v>
      </c>
      <c r="O622" s="141">
        <v>436908.435</v>
      </c>
      <c r="P622" s="140"/>
    </row>
    <row r="623" spans="1:16" s="31" customFormat="1" ht="57" customHeight="1">
      <c r="A623" s="158">
        <v>12</v>
      </c>
      <c r="B623" s="200" t="s">
        <v>36</v>
      </c>
      <c r="C623" s="312" t="s">
        <v>1773</v>
      </c>
      <c r="D623" s="165" t="s">
        <v>853</v>
      </c>
      <c r="E623" s="259"/>
      <c r="F623" s="162">
        <v>44089</v>
      </c>
      <c r="G623" s="162">
        <v>44224</v>
      </c>
      <c r="H623" s="169">
        <v>2853412.58</v>
      </c>
      <c r="I623" s="169">
        <v>0</v>
      </c>
      <c r="J623" s="169">
        <v>2853412.58</v>
      </c>
      <c r="K623" s="141"/>
      <c r="L623" s="147">
        <f t="shared" si="36"/>
        <v>713353.14500000002</v>
      </c>
      <c r="M623" s="141">
        <v>713353.14500000002</v>
      </c>
      <c r="N623" s="141">
        <v>713353.14500000002</v>
      </c>
      <c r="O623" s="141">
        <v>713353.14500000002</v>
      </c>
      <c r="P623" s="140"/>
    </row>
    <row r="624" spans="1:16" s="31" customFormat="1" ht="36" customHeight="1">
      <c r="A624" s="200">
        <v>13</v>
      </c>
      <c r="B624" s="200" t="s">
        <v>36</v>
      </c>
      <c r="C624" s="140" t="s">
        <v>1774</v>
      </c>
      <c r="D624" s="171" t="s">
        <v>943</v>
      </c>
      <c r="E624" s="259"/>
      <c r="F624" s="155">
        <v>44126</v>
      </c>
      <c r="G624" s="155">
        <v>44310</v>
      </c>
      <c r="H624" s="176">
        <v>538436.15</v>
      </c>
      <c r="I624" s="169">
        <v>0</v>
      </c>
      <c r="J624" s="176">
        <v>530000</v>
      </c>
      <c r="K624" s="141"/>
      <c r="L624" s="147">
        <f t="shared" si="36"/>
        <v>132500</v>
      </c>
      <c r="M624" s="141">
        <v>132500</v>
      </c>
      <c r="N624" s="141">
        <v>132500</v>
      </c>
      <c r="O624" s="141">
        <v>132500</v>
      </c>
      <c r="P624" s="140"/>
    </row>
    <row r="625" spans="1:16" s="31" customFormat="1" ht="43.5" customHeight="1">
      <c r="A625" s="158">
        <v>14</v>
      </c>
      <c r="B625" s="200" t="s">
        <v>36</v>
      </c>
      <c r="C625" s="140" t="s">
        <v>1775</v>
      </c>
      <c r="D625" s="171" t="s">
        <v>1210</v>
      </c>
      <c r="E625" s="259"/>
      <c r="F625" s="155">
        <v>44186</v>
      </c>
      <c r="G625" s="155">
        <v>44742</v>
      </c>
      <c r="H625" s="176">
        <v>33516017.699999999</v>
      </c>
      <c r="I625" s="176">
        <v>0</v>
      </c>
      <c r="J625" s="176">
        <v>10000000</v>
      </c>
      <c r="K625" s="141"/>
      <c r="L625" s="147">
        <f t="shared" si="36"/>
        <v>2500000</v>
      </c>
      <c r="M625" s="141">
        <v>2500000</v>
      </c>
      <c r="N625" s="141">
        <v>2500000</v>
      </c>
      <c r="O625" s="141">
        <v>2500000</v>
      </c>
      <c r="P625" s="140"/>
    </row>
    <row r="626" spans="1:16" s="31" customFormat="1" ht="42" customHeight="1">
      <c r="A626" s="158">
        <v>15</v>
      </c>
      <c r="B626" s="200" t="s">
        <v>36</v>
      </c>
      <c r="C626" s="140" t="s">
        <v>1776</v>
      </c>
      <c r="D626" s="171" t="s">
        <v>853</v>
      </c>
      <c r="E626" s="259"/>
      <c r="F626" s="155">
        <v>44259</v>
      </c>
      <c r="G626" s="155">
        <v>44354</v>
      </c>
      <c r="H626" s="176">
        <v>847019.84</v>
      </c>
      <c r="I626" s="176">
        <v>0</v>
      </c>
      <c r="J626" s="176">
        <v>847019.84</v>
      </c>
      <c r="K626" s="141"/>
      <c r="L626" s="147">
        <f t="shared" si="36"/>
        <v>211754.96</v>
      </c>
      <c r="M626" s="141">
        <v>211754.96</v>
      </c>
      <c r="N626" s="141">
        <v>211754.96</v>
      </c>
      <c r="O626" s="141">
        <v>211754.96</v>
      </c>
      <c r="P626" s="140"/>
    </row>
    <row r="627" spans="1:16" s="31" customFormat="1" ht="27.75" customHeight="1">
      <c r="A627" s="200">
        <v>16</v>
      </c>
      <c r="B627" s="200" t="s">
        <v>36</v>
      </c>
      <c r="C627" s="140" t="s">
        <v>1777</v>
      </c>
      <c r="D627" s="171" t="s">
        <v>826</v>
      </c>
      <c r="E627" s="259"/>
      <c r="F627" s="155">
        <v>44169</v>
      </c>
      <c r="G627" s="155">
        <v>44309</v>
      </c>
      <c r="H627" s="176">
        <v>1790000</v>
      </c>
      <c r="I627" s="176">
        <v>0</v>
      </c>
      <c r="J627" s="176">
        <v>1790000</v>
      </c>
      <c r="K627" s="141"/>
      <c r="L627" s="147">
        <f t="shared" si="36"/>
        <v>447500</v>
      </c>
      <c r="M627" s="141">
        <v>447500</v>
      </c>
      <c r="N627" s="141">
        <v>447500</v>
      </c>
      <c r="O627" s="141">
        <v>447500</v>
      </c>
      <c r="P627" s="140"/>
    </row>
    <row r="628" spans="1:16" s="31" customFormat="1" ht="40.5" customHeight="1">
      <c r="A628" s="158">
        <v>17</v>
      </c>
      <c r="B628" s="200" t="s">
        <v>36</v>
      </c>
      <c r="C628" s="140" t="s">
        <v>1778</v>
      </c>
      <c r="D628" s="171" t="s">
        <v>38</v>
      </c>
      <c r="E628" s="259"/>
      <c r="F628" s="155">
        <v>43781</v>
      </c>
      <c r="G628" s="155">
        <v>44284</v>
      </c>
      <c r="H628" s="176">
        <v>6702777.0899999999</v>
      </c>
      <c r="I628" s="176">
        <v>1776401</v>
      </c>
      <c r="J628" s="176">
        <v>4900000</v>
      </c>
      <c r="K628" s="141"/>
      <c r="L628" s="147">
        <f t="shared" si="36"/>
        <v>1225000</v>
      </c>
      <c r="M628" s="141">
        <v>1225000</v>
      </c>
      <c r="N628" s="141">
        <v>1225000</v>
      </c>
      <c r="O628" s="141">
        <v>1225000</v>
      </c>
      <c r="P628" s="140"/>
    </row>
    <row r="629" spans="1:16" s="31" customFormat="1" ht="30.75" customHeight="1">
      <c r="A629" s="158">
        <v>18</v>
      </c>
      <c r="B629" s="200" t="s">
        <v>36</v>
      </c>
      <c r="C629" s="140" t="s">
        <v>1779</v>
      </c>
      <c r="D629" s="171" t="s">
        <v>1216</v>
      </c>
      <c r="E629" s="259"/>
      <c r="F629" s="155">
        <v>43845</v>
      </c>
      <c r="G629" s="342">
        <v>2021</v>
      </c>
      <c r="H629" s="176">
        <v>7021340.4299999997</v>
      </c>
      <c r="I629" s="176">
        <v>0</v>
      </c>
      <c r="J629" s="176">
        <v>7021340.4299999997</v>
      </c>
      <c r="K629" s="141"/>
      <c r="L629" s="147">
        <f t="shared" si="36"/>
        <v>1755335.1074999999</v>
      </c>
      <c r="M629" s="141">
        <v>1755335.1074999999</v>
      </c>
      <c r="N629" s="141">
        <v>1755335.1074999999</v>
      </c>
      <c r="O629" s="141">
        <v>1755335.1074999999</v>
      </c>
      <c r="P629" s="140"/>
    </row>
    <row r="630" spans="1:16" s="31" customFormat="1" ht="30.75" customHeight="1" thickBot="1">
      <c r="A630" s="200">
        <v>19</v>
      </c>
      <c r="B630" s="200" t="s">
        <v>36</v>
      </c>
      <c r="C630" s="140" t="s">
        <v>1780</v>
      </c>
      <c r="D630" s="171" t="s">
        <v>853</v>
      </c>
      <c r="E630" s="259"/>
      <c r="F630" s="155">
        <v>44210</v>
      </c>
      <c r="G630" s="155">
        <v>44260</v>
      </c>
      <c r="H630" s="176">
        <v>51948.58</v>
      </c>
      <c r="I630" s="176">
        <v>0</v>
      </c>
      <c r="J630" s="176">
        <v>51948.58</v>
      </c>
      <c r="K630" s="141"/>
      <c r="L630" s="147">
        <f t="shared" si="36"/>
        <v>12987.145</v>
      </c>
      <c r="M630" s="141">
        <v>12987.145</v>
      </c>
      <c r="N630" s="141">
        <v>12987.145</v>
      </c>
      <c r="O630" s="141">
        <v>12987.145</v>
      </c>
      <c r="P630" s="140"/>
    </row>
    <row r="631" spans="1:16" s="33" customFormat="1" ht="30" customHeight="1" thickBot="1">
      <c r="A631" s="668" t="s">
        <v>20</v>
      </c>
      <c r="B631" s="669"/>
      <c r="C631" s="669"/>
      <c r="D631" s="669"/>
      <c r="E631" s="669"/>
      <c r="F631" s="669"/>
      <c r="G631" s="670"/>
      <c r="H631" s="146">
        <f t="shared" ref="H631:O631" si="37">SUM(H612:H630)</f>
        <v>211703108.58080006</v>
      </c>
      <c r="I631" s="146">
        <f t="shared" si="37"/>
        <v>67062070.239999995</v>
      </c>
      <c r="J631" s="146">
        <f t="shared" si="37"/>
        <v>114968904.80999999</v>
      </c>
      <c r="K631" s="146">
        <f t="shared" si="37"/>
        <v>0</v>
      </c>
      <c r="L631" s="146">
        <f t="shared" si="37"/>
        <v>28742226.202499997</v>
      </c>
      <c r="M631" s="146">
        <f t="shared" si="37"/>
        <v>28742226.202499997</v>
      </c>
      <c r="N631" s="146">
        <f t="shared" si="37"/>
        <v>28742226.202499997</v>
      </c>
      <c r="O631" s="146">
        <f t="shared" si="37"/>
        <v>28742226.202499997</v>
      </c>
      <c r="P631" s="118"/>
    </row>
    <row r="632" spans="1:16" ht="15.75" thickBot="1">
      <c r="A632" s="671"/>
      <c r="B632" s="672"/>
      <c r="C632" s="672"/>
      <c r="D632" s="672"/>
      <c r="E632" s="672"/>
      <c r="F632" s="672"/>
      <c r="G632" s="672"/>
      <c r="H632" s="672"/>
      <c r="I632" s="672"/>
      <c r="J632" s="672"/>
      <c r="K632" s="672"/>
      <c r="L632" s="672"/>
      <c r="M632" s="672"/>
      <c r="N632" s="672"/>
      <c r="O632" s="672"/>
      <c r="P632" s="673"/>
    </row>
    <row r="633" spans="1:16" ht="30" customHeight="1" thickBot="1">
      <c r="A633" s="652" t="s">
        <v>24</v>
      </c>
      <c r="B633" s="653"/>
      <c r="C633" s="653"/>
      <c r="D633" s="653"/>
      <c r="E633" s="653"/>
      <c r="F633" s="653"/>
      <c r="G633" s="653"/>
      <c r="H633" s="556"/>
      <c r="I633" s="556"/>
      <c r="J633" s="556"/>
      <c r="K633" s="556"/>
      <c r="L633" s="556"/>
      <c r="M633" s="556"/>
      <c r="N633" s="556"/>
      <c r="O633" s="556"/>
      <c r="P633" s="115"/>
    </row>
    <row r="634" spans="1:16" s="31" customFormat="1" ht="60.75" customHeight="1">
      <c r="A634" s="371">
        <v>1</v>
      </c>
      <c r="B634" s="200" t="s">
        <v>25</v>
      </c>
      <c r="C634" s="201" t="s">
        <v>289</v>
      </c>
      <c r="D634" s="152" t="s">
        <v>38</v>
      </c>
      <c r="E634" s="152" t="s">
        <v>290</v>
      </c>
      <c r="F634" s="152">
        <v>2016</v>
      </c>
      <c r="G634" s="202">
        <v>2022</v>
      </c>
      <c r="H634" s="203">
        <v>12000000</v>
      </c>
      <c r="I634" s="176">
        <v>1341793</v>
      </c>
      <c r="J634" s="203">
        <v>5000000</v>
      </c>
      <c r="K634" s="159"/>
      <c r="L634" s="159">
        <v>1250000</v>
      </c>
      <c r="M634" s="159">
        <v>1250000</v>
      </c>
      <c r="N634" s="159">
        <v>1250000</v>
      </c>
      <c r="O634" s="159">
        <v>1250000</v>
      </c>
      <c r="P634" s="366"/>
    </row>
    <row r="635" spans="1:16" s="31" customFormat="1" ht="60.75" customHeight="1">
      <c r="A635" s="372">
        <v>2</v>
      </c>
      <c r="B635" s="200" t="s">
        <v>25</v>
      </c>
      <c r="C635" s="161" t="s">
        <v>291</v>
      </c>
      <c r="D635" s="171" t="s">
        <v>48</v>
      </c>
      <c r="E635" s="171" t="s">
        <v>292</v>
      </c>
      <c r="F635" s="171">
        <v>2016</v>
      </c>
      <c r="G635" s="158">
        <v>2022</v>
      </c>
      <c r="H635" s="144">
        <v>16000000</v>
      </c>
      <c r="I635" s="176">
        <v>2878636</v>
      </c>
      <c r="J635" s="144">
        <v>5000000</v>
      </c>
      <c r="K635" s="144"/>
      <c r="L635" s="159">
        <v>1250000</v>
      </c>
      <c r="M635" s="159">
        <v>1250000</v>
      </c>
      <c r="N635" s="159">
        <v>1250000</v>
      </c>
      <c r="O635" s="159">
        <v>1250000</v>
      </c>
      <c r="P635" s="140"/>
    </row>
    <row r="636" spans="1:16" s="31" customFormat="1" ht="60.75" customHeight="1" thickBot="1">
      <c r="A636" s="372">
        <v>3</v>
      </c>
      <c r="B636" s="200" t="s">
        <v>25</v>
      </c>
      <c r="C636" s="161" t="s">
        <v>293</v>
      </c>
      <c r="D636" s="171" t="s">
        <v>47</v>
      </c>
      <c r="E636" s="171" t="s">
        <v>294</v>
      </c>
      <c r="F636" s="171">
        <v>2017</v>
      </c>
      <c r="G636" s="158">
        <v>2022</v>
      </c>
      <c r="H636" s="144">
        <v>10500000</v>
      </c>
      <c r="I636" s="176">
        <v>514813</v>
      </c>
      <c r="J636" s="144">
        <v>5000000</v>
      </c>
      <c r="K636" s="144"/>
      <c r="L636" s="159">
        <v>1250000</v>
      </c>
      <c r="M636" s="159">
        <v>1250000</v>
      </c>
      <c r="N636" s="159">
        <v>1250000</v>
      </c>
      <c r="O636" s="159">
        <v>1250000</v>
      </c>
      <c r="P636" s="140"/>
    </row>
    <row r="637" spans="1:16" s="5" customFormat="1" ht="30" customHeight="1" thickBot="1">
      <c r="A637" s="668" t="s">
        <v>20</v>
      </c>
      <c r="B637" s="669"/>
      <c r="C637" s="669"/>
      <c r="D637" s="669"/>
      <c r="E637" s="669"/>
      <c r="F637" s="669"/>
      <c r="G637" s="670"/>
      <c r="H637" s="146">
        <f t="shared" ref="H637:O637" si="38">SUM(H634:H636)</f>
        <v>38500000</v>
      </c>
      <c r="I637" s="146">
        <f t="shared" si="38"/>
        <v>4735242</v>
      </c>
      <c r="J637" s="146">
        <f t="shared" si="38"/>
        <v>15000000</v>
      </c>
      <c r="K637" s="146">
        <f t="shared" si="38"/>
        <v>0</v>
      </c>
      <c r="L637" s="146">
        <f t="shared" si="38"/>
        <v>3750000</v>
      </c>
      <c r="M637" s="146">
        <f t="shared" si="38"/>
        <v>3750000</v>
      </c>
      <c r="N637" s="146">
        <f t="shared" si="38"/>
        <v>3750000</v>
      </c>
      <c r="O637" s="146">
        <f t="shared" si="38"/>
        <v>3750000</v>
      </c>
      <c r="P637" s="116"/>
    </row>
    <row r="638" spans="1:16" s="59" customFormat="1" ht="15" customHeight="1" thickBot="1">
      <c r="A638" s="671"/>
      <c r="B638" s="672"/>
      <c r="C638" s="672"/>
      <c r="D638" s="672"/>
      <c r="E638" s="672"/>
      <c r="F638" s="672"/>
      <c r="G638" s="672"/>
      <c r="H638" s="672"/>
      <c r="I638" s="672"/>
      <c r="J638" s="672"/>
      <c r="K638" s="672"/>
      <c r="L638" s="672"/>
      <c r="M638" s="672"/>
      <c r="N638" s="672"/>
      <c r="O638" s="672"/>
      <c r="P638" s="673"/>
    </row>
    <row r="639" spans="1:16" s="59" customFormat="1" ht="25.5" customHeight="1">
      <c r="A639" s="687" t="s">
        <v>1906</v>
      </c>
      <c r="B639" s="658"/>
      <c r="C639" s="658"/>
      <c r="D639" s="658"/>
      <c r="E639" s="658"/>
      <c r="F639" s="658"/>
      <c r="G639" s="658"/>
      <c r="H639" s="585"/>
      <c r="I639" s="585"/>
      <c r="J639" s="585"/>
      <c r="K639" s="585"/>
      <c r="L639" s="585"/>
      <c r="M639" s="585"/>
      <c r="N639" s="585"/>
      <c r="O639" s="585"/>
      <c r="P639" s="586"/>
    </row>
    <row r="640" spans="1:16" s="59" customFormat="1" ht="26.25" customHeight="1">
      <c r="A640" s="158">
        <v>1</v>
      </c>
      <c r="B640" s="158" t="s">
        <v>45</v>
      </c>
      <c r="C640" s="589" t="s">
        <v>1907</v>
      </c>
      <c r="D640" s="158" t="s">
        <v>821</v>
      </c>
      <c r="E640" s="158"/>
      <c r="F640" s="245">
        <v>2019</v>
      </c>
      <c r="G640" s="245">
        <v>2021</v>
      </c>
      <c r="H640" s="213">
        <v>1000000</v>
      </c>
      <c r="I640" s="213">
        <v>0</v>
      </c>
      <c r="J640" s="213">
        <v>1000000</v>
      </c>
      <c r="K640" s="144"/>
      <c r="L640" s="144">
        <v>250000</v>
      </c>
      <c r="M640" s="144">
        <v>250000</v>
      </c>
      <c r="N640" s="144">
        <v>250000</v>
      </c>
      <c r="O640" s="144">
        <v>250000</v>
      </c>
      <c r="P640" s="158"/>
    </row>
    <row r="641" spans="1:16" s="59" customFormat="1" ht="42" customHeight="1">
      <c r="A641" s="158">
        <v>2</v>
      </c>
      <c r="B641" s="158" t="s">
        <v>45</v>
      </c>
      <c r="C641" s="589" t="s">
        <v>1908</v>
      </c>
      <c r="D641" s="158" t="s">
        <v>821</v>
      </c>
      <c r="E641" s="158"/>
      <c r="F641" s="245">
        <v>2014</v>
      </c>
      <c r="G641" s="245">
        <v>2021</v>
      </c>
      <c r="H641" s="213">
        <v>9000000</v>
      </c>
      <c r="I641" s="213">
        <v>0</v>
      </c>
      <c r="J641" s="213">
        <v>2000</v>
      </c>
      <c r="K641" s="144"/>
      <c r="L641" s="144">
        <v>2000</v>
      </c>
      <c r="M641" s="144"/>
      <c r="N641" s="144"/>
      <c r="O641" s="144"/>
      <c r="P641" s="158"/>
    </row>
    <row r="642" spans="1:16" s="59" customFormat="1" ht="42" customHeight="1">
      <c r="A642" s="158">
        <v>3</v>
      </c>
      <c r="B642" s="158" t="s">
        <v>45</v>
      </c>
      <c r="C642" s="590" t="s">
        <v>1909</v>
      </c>
      <c r="D642" s="158" t="s">
        <v>821</v>
      </c>
      <c r="E642" s="158"/>
      <c r="F642" s="233">
        <v>2014</v>
      </c>
      <c r="G642" s="233">
        <v>2021</v>
      </c>
      <c r="H642" s="237">
        <v>5000000</v>
      </c>
      <c r="I642" s="237">
        <v>0</v>
      </c>
      <c r="J642" s="237">
        <v>1000</v>
      </c>
      <c r="K642" s="144"/>
      <c r="L642" s="144">
        <v>1000</v>
      </c>
      <c r="M642" s="144"/>
      <c r="N642" s="144"/>
      <c r="O642" s="144"/>
      <c r="P642" s="158"/>
    </row>
    <row r="643" spans="1:16" s="59" customFormat="1" ht="33.75" customHeight="1">
      <c r="A643" s="158">
        <v>4</v>
      </c>
      <c r="B643" s="158" t="s">
        <v>45</v>
      </c>
      <c r="C643" s="591" t="s">
        <v>1910</v>
      </c>
      <c r="D643" s="158" t="s">
        <v>821</v>
      </c>
      <c r="E643" s="158"/>
      <c r="F643" s="158">
        <v>2020</v>
      </c>
      <c r="G643" s="158">
        <v>2021</v>
      </c>
      <c r="H643" s="592">
        <v>400000</v>
      </c>
      <c r="I643" s="592">
        <v>0</v>
      </c>
      <c r="J643" s="592">
        <v>400000</v>
      </c>
      <c r="K643" s="144"/>
      <c r="L643" s="144">
        <v>100000</v>
      </c>
      <c r="M643" s="144">
        <v>100000</v>
      </c>
      <c r="N643" s="144">
        <v>100000</v>
      </c>
      <c r="O643" s="144">
        <v>100000</v>
      </c>
      <c r="P643" s="158"/>
    </row>
    <row r="644" spans="1:16" s="59" customFormat="1" ht="28.5" customHeight="1">
      <c r="A644" s="707" t="s">
        <v>20</v>
      </c>
      <c r="B644" s="707"/>
      <c r="C644" s="707"/>
      <c r="D644" s="707"/>
      <c r="E644" s="707"/>
      <c r="F644" s="707"/>
      <c r="G644" s="707"/>
      <c r="H644" s="587">
        <f>SUM(H639:H643)</f>
        <v>15400000</v>
      </c>
      <c r="I644" s="587">
        <f t="shared" ref="I644:O644" si="39">SUM(I639:I643)</f>
        <v>0</v>
      </c>
      <c r="J644" s="587">
        <f t="shared" si="39"/>
        <v>1403000</v>
      </c>
      <c r="K644" s="587">
        <f t="shared" si="39"/>
        <v>0</v>
      </c>
      <c r="L644" s="587">
        <f t="shared" si="39"/>
        <v>353000</v>
      </c>
      <c r="M644" s="587">
        <f t="shared" si="39"/>
        <v>350000</v>
      </c>
      <c r="N644" s="587">
        <f t="shared" si="39"/>
        <v>350000</v>
      </c>
      <c r="O644" s="587">
        <f t="shared" si="39"/>
        <v>350000</v>
      </c>
      <c r="P644" s="588"/>
    </row>
    <row r="645" spans="1:16" s="59" customFormat="1" ht="15" customHeight="1" thickBot="1">
      <c r="A645" s="403"/>
      <c r="B645" s="403"/>
      <c r="C645" s="403"/>
      <c r="D645" s="403"/>
      <c r="E645" s="403"/>
      <c r="F645" s="403"/>
      <c r="G645" s="403"/>
      <c r="H645" s="403"/>
      <c r="I645" s="403"/>
      <c r="J645" s="403"/>
      <c r="K645" s="403"/>
      <c r="L645" s="403"/>
      <c r="M645" s="403"/>
      <c r="N645" s="403"/>
      <c r="O645" s="403"/>
      <c r="P645" s="403"/>
    </row>
    <row r="646" spans="1:16" s="1" customFormat="1" ht="30" customHeight="1" thickBot="1">
      <c r="A646" s="652" t="s">
        <v>19</v>
      </c>
      <c r="B646" s="653"/>
      <c r="C646" s="653"/>
      <c r="D646" s="653"/>
      <c r="E646" s="653"/>
      <c r="F646" s="653"/>
      <c r="G646" s="653"/>
      <c r="H646" s="557"/>
      <c r="I646" s="557"/>
      <c r="J646" s="557"/>
      <c r="K646" s="557"/>
      <c r="L646" s="557"/>
      <c r="M646" s="557"/>
      <c r="N646" s="557"/>
      <c r="O646" s="557"/>
      <c r="P646" s="123"/>
    </row>
    <row r="647" spans="1:16" s="1" customFormat="1" ht="31.5">
      <c r="A647" s="149">
        <v>1</v>
      </c>
      <c r="B647" s="200" t="s">
        <v>25</v>
      </c>
      <c r="C647" s="201" t="s">
        <v>362</v>
      </c>
      <c r="D647" s="152" t="s">
        <v>363</v>
      </c>
      <c r="E647" s="152" t="s">
        <v>130</v>
      </c>
      <c r="F647" s="152">
        <v>2021</v>
      </c>
      <c r="G647" s="202">
        <v>2021</v>
      </c>
      <c r="H647" s="203">
        <v>20000</v>
      </c>
      <c r="I647" s="219"/>
      <c r="J647" s="203">
        <v>20000</v>
      </c>
      <c r="K647" s="159"/>
      <c r="L647" s="159">
        <v>5000</v>
      </c>
      <c r="M647" s="159">
        <v>5000</v>
      </c>
      <c r="N647" s="159">
        <v>5000</v>
      </c>
      <c r="O647" s="159">
        <v>5000</v>
      </c>
      <c r="P647" s="153"/>
    </row>
    <row r="648" spans="1:16" s="1" customFormat="1" ht="35.25" customHeight="1">
      <c r="A648" s="154">
        <v>2</v>
      </c>
      <c r="B648" s="200" t="s">
        <v>25</v>
      </c>
      <c r="C648" s="161" t="s">
        <v>364</v>
      </c>
      <c r="D648" s="171" t="s">
        <v>365</v>
      </c>
      <c r="E648" s="171" t="s">
        <v>366</v>
      </c>
      <c r="F648" s="171">
        <v>2021</v>
      </c>
      <c r="G648" s="158">
        <v>2021</v>
      </c>
      <c r="H648" s="144">
        <v>20000</v>
      </c>
      <c r="I648" s="166"/>
      <c r="J648" s="144">
        <v>20000</v>
      </c>
      <c r="K648" s="144"/>
      <c r="L648" s="144">
        <v>5000</v>
      </c>
      <c r="M648" s="144">
        <v>5000</v>
      </c>
      <c r="N648" s="144">
        <v>5000</v>
      </c>
      <c r="O648" s="144">
        <v>5000</v>
      </c>
      <c r="P648" s="157"/>
    </row>
    <row r="649" spans="1:16" s="1" customFormat="1" ht="31.5">
      <c r="A649" s="149">
        <v>3</v>
      </c>
      <c r="B649" s="200" t="s">
        <v>25</v>
      </c>
      <c r="C649" s="161" t="s">
        <v>367</v>
      </c>
      <c r="D649" s="171" t="s">
        <v>368</v>
      </c>
      <c r="E649" s="171" t="s">
        <v>369</v>
      </c>
      <c r="F649" s="171">
        <v>2017</v>
      </c>
      <c r="G649" s="158">
        <v>2024</v>
      </c>
      <c r="H649" s="144">
        <v>12000000</v>
      </c>
      <c r="I649" s="166"/>
      <c r="J649" s="144">
        <v>1000000</v>
      </c>
      <c r="K649" s="144"/>
      <c r="L649" s="144">
        <v>250000</v>
      </c>
      <c r="M649" s="144">
        <v>250000</v>
      </c>
      <c r="N649" s="144">
        <v>250000</v>
      </c>
      <c r="O649" s="144">
        <v>250000</v>
      </c>
      <c r="P649" s="157"/>
    </row>
    <row r="650" spans="1:16" s="1" customFormat="1" ht="31.5">
      <c r="A650" s="154">
        <v>4</v>
      </c>
      <c r="B650" s="200" t="s">
        <v>25</v>
      </c>
      <c r="C650" s="161" t="s">
        <v>370</v>
      </c>
      <c r="D650" s="171" t="s">
        <v>371</v>
      </c>
      <c r="E650" s="171" t="s">
        <v>372</v>
      </c>
      <c r="F650" s="171">
        <v>2020</v>
      </c>
      <c r="G650" s="158">
        <v>2024</v>
      </c>
      <c r="H650" s="144">
        <v>11600000</v>
      </c>
      <c r="I650" s="167"/>
      <c r="J650" s="144">
        <v>150000</v>
      </c>
      <c r="K650" s="144"/>
      <c r="L650" s="144">
        <v>37500</v>
      </c>
      <c r="M650" s="144">
        <v>37500</v>
      </c>
      <c r="N650" s="144">
        <v>37500</v>
      </c>
      <c r="O650" s="144">
        <v>37500</v>
      </c>
      <c r="P650" s="157"/>
    </row>
    <row r="651" spans="1:16" s="1" customFormat="1" ht="31.5">
      <c r="A651" s="149">
        <v>5</v>
      </c>
      <c r="B651" s="200" t="s">
        <v>25</v>
      </c>
      <c r="C651" s="161" t="s">
        <v>373</v>
      </c>
      <c r="D651" s="171" t="s">
        <v>374</v>
      </c>
      <c r="E651" s="171" t="s">
        <v>375</v>
      </c>
      <c r="F651" s="171">
        <v>2020</v>
      </c>
      <c r="G651" s="158">
        <v>2024</v>
      </c>
      <c r="H651" s="144">
        <v>15000000</v>
      </c>
      <c r="I651" s="167"/>
      <c r="J651" s="144">
        <v>950000</v>
      </c>
      <c r="K651" s="144"/>
      <c r="L651" s="144">
        <v>237500</v>
      </c>
      <c r="M651" s="144">
        <v>237500</v>
      </c>
      <c r="N651" s="144">
        <v>237500</v>
      </c>
      <c r="O651" s="144">
        <v>237500</v>
      </c>
      <c r="P651" s="205"/>
    </row>
    <row r="652" spans="1:16" s="1" customFormat="1" ht="31.5">
      <c r="A652" s="154">
        <v>6</v>
      </c>
      <c r="B652" s="200" t="s">
        <v>25</v>
      </c>
      <c r="C652" s="161" t="s">
        <v>376</v>
      </c>
      <c r="D652" s="171" t="s">
        <v>377</v>
      </c>
      <c r="E652" s="171" t="s">
        <v>378</v>
      </c>
      <c r="F652" s="171">
        <v>2012</v>
      </c>
      <c r="G652" s="158">
        <v>2024</v>
      </c>
      <c r="H652" s="144">
        <v>18000000</v>
      </c>
      <c r="I652" s="167">
        <v>183000</v>
      </c>
      <c r="J652" s="144">
        <v>150000</v>
      </c>
      <c r="K652" s="144"/>
      <c r="L652" s="144">
        <v>37500</v>
      </c>
      <c r="M652" s="144">
        <v>37500</v>
      </c>
      <c r="N652" s="144">
        <v>37500</v>
      </c>
      <c r="O652" s="144">
        <v>37500</v>
      </c>
      <c r="P652" s="205"/>
    </row>
    <row r="653" spans="1:16" s="1" customFormat="1" ht="32.25" thickBot="1">
      <c r="A653" s="149">
        <v>7</v>
      </c>
      <c r="B653" s="200" t="s">
        <v>25</v>
      </c>
      <c r="C653" s="161" t="s">
        <v>379</v>
      </c>
      <c r="D653" s="171" t="s">
        <v>380</v>
      </c>
      <c r="E653" s="171" t="s">
        <v>381</v>
      </c>
      <c r="F653" s="171" t="s">
        <v>382</v>
      </c>
      <c r="G653" s="158">
        <v>2024</v>
      </c>
      <c r="H653" s="144">
        <v>75000000</v>
      </c>
      <c r="I653" s="167"/>
      <c r="J653" s="144">
        <v>7000000</v>
      </c>
      <c r="K653" s="144"/>
      <c r="L653" s="144">
        <v>1750000</v>
      </c>
      <c r="M653" s="144">
        <v>1750000</v>
      </c>
      <c r="N653" s="144">
        <v>1750000</v>
      </c>
      <c r="O653" s="144">
        <v>1750000</v>
      </c>
      <c r="P653" s="157"/>
    </row>
    <row r="654" spans="1:16" s="107" customFormat="1" ht="30" customHeight="1" thickBot="1">
      <c r="A654" s="668" t="s">
        <v>20</v>
      </c>
      <c r="B654" s="669"/>
      <c r="C654" s="669"/>
      <c r="D654" s="669"/>
      <c r="E654" s="669"/>
      <c r="F654" s="669"/>
      <c r="G654" s="670"/>
      <c r="H654" s="558">
        <f t="shared" ref="H654:O654" si="40">SUM(H647:H653)</f>
        <v>131640000</v>
      </c>
      <c r="I654" s="558">
        <f t="shared" si="40"/>
        <v>183000</v>
      </c>
      <c r="J654" s="558">
        <f t="shared" si="40"/>
        <v>9290000</v>
      </c>
      <c r="K654" s="558">
        <f t="shared" si="40"/>
        <v>0</v>
      </c>
      <c r="L654" s="558">
        <f t="shared" si="40"/>
        <v>2322500</v>
      </c>
      <c r="M654" s="558">
        <f t="shared" si="40"/>
        <v>2322500</v>
      </c>
      <c r="N654" s="558">
        <f t="shared" si="40"/>
        <v>2322500</v>
      </c>
      <c r="O654" s="558">
        <f t="shared" si="40"/>
        <v>2322500</v>
      </c>
      <c r="P654" s="124"/>
    </row>
    <row r="655" spans="1:16" s="60" customFormat="1" ht="18" customHeight="1" thickBot="1">
      <c r="A655" s="671"/>
      <c r="B655" s="672"/>
      <c r="C655" s="672"/>
      <c r="D655" s="672"/>
      <c r="E655" s="672"/>
      <c r="F655" s="672"/>
      <c r="G655" s="672"/>
      <c r="H655" s="672"/>
      <c r="I655" s="672"/>
      <c r="J655" s="672"/>
      <c r="K655" s="672"/>
      <c r="L655" s="672"/>
      <c r="M655" s="672"/>
      <c r="N655" s="672"/>
      <c r="O655" s="672"/>
      <c r="P655" s="673"/>
    </row>
    <row r="656" spans="1:16" ht="30" customHeight="1" thickBot="1">
      <c r="A656" s="652" t="s">
        <v>58</v>
      </c>
      <c r="B656" s="653"/>
      <c r="C656" s="653"/>
      <c r="D656" s="653"/>
      <c r="E656" s="653"/>
      <c r="F656" s="653"/>
      <c r="G656" s="653"/>
      <c r="H656" s="653"/>
      <c r="I656" s="653"/>
      <c r="J656" s="653"/>
      <c r="K656" s="653"/>
      <c r="L656" s="653"/>
      <c r="M656" s="653"/>
      <c r="N656" s="653"/>
      <c r="O656" s="653"/>
      <c r="P656" s="654"/>
    </row>
    <row r="657" spans="1:16" s="31" customFormat="1" ht="29.25" customHeight="1">
      <c r="A657" s="200">
        <v>1</v>
      </c>
      <c r="B657" s="200" t="s">
        <v>36</v>
      </c>
      <c r="C657" s="171" t="s">
        <v>1380</v>
      </c>
      <c r="D657" s="158" t="s">
        <v>1126</v>
      </c>
      <c r="E657" s="171" t="s">
        <v>1381</v>
      </c>
      <c r="F657" s="156">
        <v>44092</v>
      </c>
      <c r="G657" s="156">
        <v>44332</v>
      </c>
      <c r="H657" s="144">
        <v>5010000</v>
      </c>
      <c r="I657" s="144">
        <v>2573020.7699999996</v>
      </c>
      <c r="J657" s="144">
        <f t="shared" ref="J657:J688" si="41">H657-I657</f>
        <v>2436979.2300000004</v>
      </c>
      <c r="K657" s="147"/>
      <c r="L657" s="147">
        <f t="shared" ref="L657:L688" si="42">J657*0.25</f>
        <v>609244.80750000011</v>
      </c>
      <c r="M657" s="147">
        <f t="shared" ref="M657:M688" si="43">J657*0.25</f>
        <v>609244.80750000011</v>
      </c>
      <c r="N657" s="147">
        <f t="shared" ref="N657:N688" si="44">J657*0.25</f>
        <v>609244.80750000011</v>
      </c>
      <c r="O657" s="147">
        <f t="shared" ref="O657:O688" si="45">J657*0.25</f>
        <v>609244.80750000011</v>
      </c>
      <c r="P657" s="366"/>
    </row>
    <row r="658" spans="1:16" s="31" customFormat="1" ht="29.25" customHeight="1">
      <c r="A658" s="158">
        <v>2</v>
      </c>
      <c r="B658" s="200" t="s">
        <v>36</v>
      </c>
      <c r="C658" s="171" t="s">
        <v>1382</v>
      </c>
      <c r="D658" s="158" t="s">
        <v>1126</v>
      </c>
      <c r="E658" s="171" t="s">
        <v>1381</v>
      </c>
      <c r="F658" s="156">
        <v>44092</v>
      </c>
      <c r="G658" s="156">
        <v>44262</v>
      </c>
      <c r="H658" s="144">
        <v>3050000</v>
      </c>
      <c r="I658" s="144">
        <v>1667062.9</v>
      </c>
      <c r="J658" s="144">
        <f t="shared" si="41"/>
        <v>1382937.1</v>
      </c>
      <c r="K658" s="141"/>
      <c r="L658" s="147">
        <f t="shared" si="42"/>
        <v>345734.27500000002</v>
      </c>
      <c r="M658" s="147">
        <f t="shared" si="43"/>
        <v>345734.27500000002</v>
      </c>
      <c r="N658" s="147">
        <f t="shared" si="44"/>
        <v>345734.27500000002</v>
      </c>
      <c r="O658" s="147">
        <f t="shared" si="45"/>
        <v>345734.27500000002</v>
      </c>
      <c r="P658" s="140"/>
    </row>
    <row r="659" spans="1:16" s="31" customFormat="1" ht="29.25" customHeight="1">
      <c r="A659" s="158">
        <v>3</v>
      </c>
      <c r="B659" s="200" t="s">
        <v>36</v>
      </c>
      <c r="C659" s="171" t="s">
        <v>1383</v>
      </c>
      <c r="D659" s="158" t="s">
        <v>1126</v>
      </c>
      <c r="E659" s="171" t="s">
        <v>1381</v>
      </c>
      <c r="F659" s="156">
        <v>44092</v>
      </c>
      <c r="G659" s="156">
        <v>44262</v>
      </c>
      <c r="H659" s="144">
        <v>1270000</v>
      </c>
      <c r="I659" s="144">
        <v>641026.14999999991</v>
      </c>
      <c r="J659" s="144">
        <f t="shared" si="41"/>
        <v>628973.85000000009</v>
      </c>
      <c r="K659" s="141"/>
      <c r="L659" s="147">
        <f t="shared" si="42"/>
        <v>157243.46250000002</v>
      </c>
      <c r="M659" s="147">
        <f t="shared" si="43"/>
        <v>157243.46250000002</v>
      </c>
      <c r="N659" s="147">
        <f t="shared" si="44"/>
        <v>157243.46250000002</v>
      </c>
      <c r="O659" s="147">
        <f t="shared" si="45"/>
        <v>157243.46250000002</v>
      </c>
      <c r="P659" s="140"/>
    </row>
    <row r="660" spans="1:16" s="31" customFormat="1" ht="29.25" customHeight="1">
      <c r="A660" s="200">
        <v>4</v>
      </c>
      <c r="B660" s="200" t="s">
        <v>36</v>
      </c>
      <c r="C660" s="171" t="s">
        <v>1384</v>
      </c>
      <c r="D660" s="158" t="s">
        <v>1126</v>
      </c>
      <c r="E660" s="171" t="s">
        <v>1381</v>
      </c>
      <c r="F660" s="156">
        <v>44092</v>
      </c>
      <c r="G660" s="156">
        <v>44262</v>
      </c>
      <c r="H660" s="144">
        <v>1465000</v>
      </c>
      <c r="I660" s="144">
        <v>741495.09500000009</v>
      </c>
      <c r="J660" s="144">
        <f t="shared" si="41"/>
        <v>723504.90499999991</v>
      </c>
      <c r="K660" s="141"/>
      <c r="L660" s="147">
        <f t="shared" si="42"/>
        <v>180876.22624999998</v>
      </c>
      <c r="M660" s="147">
        <f t="shared" si="43"/>
        <v>180876.22624999998</v>
      </c>
      <c r="N660" s="147">
        <f t="shared" si="44"/>
        <v>180876.22624999998</v>
      </c>
      <c r="O660" s="147">
        <f t="shared" si="45"/>
        <v>180876.22624999998</v>
      </c>
      <c r="P660" s="140"/>
    </row>
    <row r="661" spans="1:16" s="31" customFormat="1" ht="29.25" customHeight="1">
      <c r="A661" s="158">
        <v>5</v>
      </c>
      <c r="B661" s="200" t="s">
        <v>36</v>
      </c>
      <c r="C661" s="171" t="s">
        <v>1385</v>
      </c>
      <c r="D661" s="158" t="s">
        <v>1199</v>
      </c>
      <c r="E661" s="171" t="s">
        <v>1381</v>
      </c>
      <c r="F661" s="156">
        <v>44090</v>
      </c>
      <c r="G661" s="156">
        <v>44330</v>
      </c>
      <c r="H661" s="144">
        <v>3596000</v>
      </c>
      <c r="I661" s="144">
        <v>1029660.6600000003</v>
      </c>
      <c r="J661" s="144">
        <f t="shared" si="41"/>
        <v>2566339.34</v>
      </c>
      <c r="K661" s="141"/>
      <c r="L661" s="147">
        <f t="shared" si="42"/>
        <v>641584.83499999996</v>
      </c>
      <c r="M661" s="147">
        <f t="shared" si="43"/>
        <v>641584.83499999996</v>
      </c>
      <c r="N661" s="147">
        <f t="shared" si="44"/>
        <v>641584.83499999996</v>
      </c>
      <c r="O661" s="147">
        <f t="shared" si="45"/>
        <v>641584.83499999996</v>
      </c>
      <c r="P661" s="140"/>
    </row>
    <row r="662" spans="1:16" s="31" customFormat="1" ht="29.25" customHeight="1">
      <c r="A662" s="158">
        <v>6</v>
      </c>
      <c r="B662" s="200" t="s">
        <v>36</v>
      </c>
      <c r="C662" s="171" t="s">
        <v>1386</v>
      </c>
      <c r="D662" s="158" t="s">
        <v>1199</v>
      </c>
      <c r="E662" s="171" t="s">
        <v>1381</v>
      </c>
      <c r="F662" s="156">
        <v>44090</v>
      </c>
      <c r="G662" s="156">
        <v>44260</v>
      </c>
      <c r="H662" s="144">
        <v>7192000</v>
      </c>
      <c r="I662" s="144">
        <v>3214708.9299999997</v>
      </c>
      <c r="J662" s="144">
        <f t="shared" si="41"/>
        <v>3977291.0700000003</v>
      </c>
      <c r="K662" s="141"/>
      <c r="L662" s="147">
        <f t="shared" si="42"/>
        <v>994322.76750000007</v>
      </c>
      <c r="M662" s="147">
        <f t="shared" si="43"/>
        <v>994322.76750000007</v>
      </c>
      <c r="N662" s="147">
        <f t="shared" si="44"/>
        <v>994322.76750000007</v>
      </c>
      <c r="O662" s="147">
        <f t="shared" si="45"/>
        <v>994322.76750000007</v>
      </c>
      <c r="P662" s="140"/>
    </row>
    <row r="663" spans="1:16" s="31" customFormat="1" ht="29.25" customHeight="1">
      <c r="A663" s="200">
        <v>7</v>
      </c>
      <c r="B663" s="200" t="s">
        <v>36</v>
      </c>
      <c r="C663" s="171" t="s">
        <v>1387</v>
      </c>
      <c r="D663" s="158" t="s">
        <v>198</v>
      </c>
      <c r="E663" s="171" t="s">
        <v>1381</v>
      </c>
      <c r="F663" s="156">
        <v>44090</v>
      </c>
      <c r="G663" s="156">
        <v>44260</v>
      </c>
      <c r="H663" s="144">
        <v>3596000</v>
      </c>
      <c r="I663" s="144">
        <v>2180035.4479999999</v>
      </c>
      <c r="J663" s="144">
        <f t="shared" si="41"/>
        <v>1415964.5520000001</v>
      </c>
      <c r="K663" s="141"/>
      <c r="L663" s="147">
        <f t="shared" si="42"/>
        <v>353991.13800000004</v>
      </c>
      <c r="M663" s="147">
        <f t="shared" si="43"/>
        <v>353991.13800000004</v>
      </c>
      <c r="N663" s="147">
        <f t="shared" si="44"/>
        <v>353991.13800000004</v>
      </c>
      <c r="O663" s="147">
        <f t="shared" si="45"/>
        <v>353991.13800000004</v>
      </c>
      <c r="P663" s="140"/>
    </row>
    <row r="664" spans="1:16" s="31" customFormat="1" ht="29.25" customHeight="1">
      <c r="A664" s="158">
        <v>8</v>
      </c>
      <c r="B664" s="200" t="s">
        <v>36</v>
      </c>
      <c r="C664" s="171" t="s">
        <v>1388</v>
      </c>
      <c r="D664" s="158" t="s">
        <v>198</v>
      </c>
      <c r="E664" s="171" t="s">
        <v>1381</v>
      </c>
      <c r="F664" s="156">
        <v>44090</v>
      </c>
      <c r="G664" s="156">
        <v>44260</v>
      </c>
      <c r="H664" s="144">
        <v>3596000</v>
      </c>
      <c r="I664" s="144">
        <v>1431808.5339999998</v>
      </c>
      <c r="J664" s="144">
        <f t="shared" si="41"/>
        <v>2164191.466</v>
      </c>
      <c r="K664" s="141"/>
      <c r="L664" s="147">
        <f t="shared" si="42"/>
        <v>541047.8665</v>
      </c>
      <c r="M664" s="147">
        <f t="shared" si="43"/>
        <v>541047.8665</v>
      </c>
      <c r="N664" s="147">
        <f t="shared" si="44"/>
        <v>541047.8665</v>
      </c>
      <c r="O664" s="147">
        <f t="shared" si="45"/>
        <v>541047.8665</v>
      </c>
      <c r="P664" s="140"/>
    </row>
    <row r="665" spans="1:16" s="31" customFormat="1" ht="29.25" customHeight="1">
      <c r="A665" s="158">
        <v>9</v>
      </c>
      <c r="B665" s="200" t="s">
        <v>36</v>
      </c>
      <c r="C665" s="171" t="s">
        <v>1389</v>
      </c>
      <c r="D665" s="158" t="s">
        <v>1189</v>
      </c>
      <c r="E665" s="171" t="s">
        <v>1381</v>
      </c>
      <c r="F665" s="156">
        <v>44092</v>
      </c>
      <c r="G665" s="156">
        <v>44332</v>
      </c>
      <c r="H665" s="144">
        <v>6100000</v>
      </c>
      <c r="I665" s="144">
        <v>2437248.9</v>
      </c>
      <c r="J665" s="144">
        <f t="shared" si="41"/>
        <v>3662751.1</v>
      </c>
      <c r="K665" s="141"/>
      <c r="L665" s="147">
        <f t="shared" si="42"/>
        <v>915687.77500000002</v>
      </c>
      <c r="M665" s="147">
        <f t="shared" si="43"/>
        <v>915687.77500000002</v>
      </c>
      <c r="N665" s="147">
        <f t="shared" si="44"/>
        <v>915687.77500000002</v>
      </c>
      <c r="O665" s="147">
        <f t="shared" si="45"/>
        <v>915687.77500000002</v>
      </c>
      <c r="P665" s="140"/>
    </row>
    <row r="666" spans="1:16" s="31" customFormat="1" ht="29.25" customHeight="1">
      <c r="A666" s="200">
        <v>10</v>
      </c>
      <c r="B666" s="200" t="s">
        <v>36</v>
      </c>
      <c r="C666" s="171" t="s">
        <v>1390</v>
      </c>
      <c r="D666" s="158" t="s">
        <v>1189</v>
      </c>
      <c r="E666" s="171" t="s">
        <v>1381</v>
      </c>
      <c r="F666" s="156">
        <v>44092</v>
      </c>
      <c r="G666" s="156">
        <v>44332</v>
      </c>
      <c r="H666" s="144">
        <v>4300000</v>
      </c>
      <c r="I666" s="144">
        <v>1571146.9000000001</v>
      </c>
      <c r="J666" s="144">
        <f t="shared" si="41"/>
        <v>2728853.0999999996</v>
      </c>
      <c r="K666" s="141"/>
      <c r="L666" s="147">
        <f t="shared" si="42"/>
        <v>682213.27499999991</v>
      </c>
      <c r="M666" s="147">
        <f t="shared" si="43"/>
        <v>682213.27499999991</v>
      </c>
      <c r="N666" s="147">
        <f t="shared" si="44"/>
        <v>682213.27499999991</v>
      </c>
      <c r="O666" s="147">
        <f t="shared" si="45"/>
        <v>682213.27499999991</v>
      </c>
      <c r="P666" s="140"/>
    </row>
    <row r="667" spans="1:16" s="31" customFormat="1" ht="29.25" customHeight="1">
      <c r="A667" s="158">
        <v>11</v>
      </c>
      <c r="B667" s="200" t="s">
        <v>36</v>
      </c>
      <c r="C667" s="171" t="s">
        <v>1391</v>
      </c>
      <c r="D667" s="158" t="s">
        <v>1189</v>
      </c>
      <c r="E667" s="171" t="s">
        <v>1381</v>
      </c>
      <c r="F667" s="156">
        <v>44092</v>
      </c>
      <c r="G667" s="156">
        <v>44302</v>
      </c>
      <c r="H667" s="144">
        <v>3900000</v>
      </c>
      <c r="I667" s="144">
        <v>1426662.8999999994</v>
      </c>
      <c r="J667" s="144">
        <f t="shared" si="41"/>
        <v>2473337.1000000006</v>
      </c>
      <c r="K667" s="141"/>
      <c r="L667" s="147">
        <f t="shared" si="42"/>
        <v>618334.27500000014</v>
      </c>
      <c r="M667" s="147">
        <f t="shared" si="43"/>
        <v>618334.27500000014</v>
      </c>
      <c r="N667" s="147">
        <f t="shared" si="44"/>
        <v>618334.27500000014</v>
      </c>
      <c r="O667" s="147">
        <f t="shared" si="45"/>
        <v>618334.27500000014</v>
      </c>
      <c r="P667" s="140"/>
    </row>
    <row r="668" spans="1:16" s="31" customFormat="1" ht="29.25" customHeight="1">
      <c r="A668" s="158">
        <v>12</v>
      </c>
      <c r="B668" s="200" t="s">
        <v>36</v>
      </c>
      <c r="C668" s="171" t="s">
        <v>1392</v>
      </c>
      <c r="D668" s="158" t="s">
        <v>1189</v>
      </c>
      <c r="E668" s="171" t="s">
        <v>1381</v>
      </c>
      <c r="F668" s="156">
        <v>44092</v>
      </c>
      <c r="G668" s="156">
        <v>44332</v>
      </c>
      <c r="H668" s="144">
        <v>5100000</v>
      </c>
      <c r="I668" s="144">
        <v>1737615.9</v>
      </c>
      <c r="J668" s="144">
        <f t="shared" si="41"/>
        <v>3362384.1</v>
      </c>
      <c r="K668" s="141"/>
      <c r="L668" s="147">
        <f t="shared" si="42"/>
        <v>840596.02500000002</v>
      </c>
      <c r="M668" s="147">
        <f t="shared" si="43"/>
        <v>840596.02500000002</v>
      </c>
      <c r="N668" s="147">
        <f t="shared" si="44"/>
        <v>840596.02500000002</v>
      </c>
      <c r="O668" s="147">
        <f t="shared" si="45"/>
        <v>840596.02500000002</v>
      </c>
      <c r="P668" s="140"/>
    </row>
    <row r="669" spans="1:16" s="31" customFormat="1" ht="29.25" customHeight="1">
      <c r="A669" s="200">
        <v>13</v>
      </c>
      <c r="B669" s="200" t="s">
        <v>36</v>
      </c>
      <c r="C669" s="171" t="s">
        <v>1393</v>
      </c>
      <c r="D669" s="158" t="s">
        <v>1189</v>
      </c>
      <c r="E669" s="171" t="s">
        <v>1381</v>
      </c>
      <c r="F669" s="156">
        <v>44090</v>
      </c>
      <c r="G669" s="156">
        <v>44260</v>
      </c>
      <c r="H669" s="144">
        <v>2000000</v>
      </c>
      <c r="I669" s="144">
        <v>1115186</v>
      </c>
      <c r="J669" s="144">
        <f t="shared" si="41"/>
        <v>884814</v>
      </c>
      <c r="K669" s="141"/>
      <c r="L669" s="147">
        <f t="shared" si="42"/>
        <v>221203.5</v>
      </c>
      <c r="M669" s="147">
        <f t="shared" si="43"/>
        <v>221203.5</v>
      </c>
      <c r="N669" s="147">
        <f t="shared" si="44"/>
        <v>221203.5</v>
      </c>
      <c r="O669" s="147">
        <f t="shared" si="45"/>
        <v>221203.5</v>
      </c>
      <c r="P669" s="140"/>
    </row>
    <row r="670" spans="1:16" s="31" customFormat="1" ht="29.25" customHeight="1">
      <c r="A670" s="158">
        <v>14</v>
      </c>
      <c r="B670" s="200" t="s">
        <v>36</v>
      </c>
      <c r="C670" s="171" t="s">
        <v>1394</v>
      </c>
      <c r="D670" s="158" t="s">
        <v>683</v>
      </c>
      <c r="E670" s="171" t="s">
        <v>1381</v>
      </c>
      <c r="F670" s="156">
        <v>44090</v>
      </c>
      <c r="G670" s="156">
        <v>44260</v>
      </c>
      <c r="H670" s="144">
        <v>3300000</v>
      </c>
      <c r="I670" s="144">
        <v>2094123.9</v>
      </c>
      <c r="J670" s="144">
        <f t="shared" si="41"/>
        <v>1205876.1000000001</v>
      </c>
      <c r="K670" s="141"/>
      <c r="L670" s="147">
        <f t="shared" si="42"/>
        <v>301469.02500000002</v>
      </c>
      <c r="M670" s="147">
        <f t="shared" si="43"/>
        <v>301469.02500000002</v>
      </c>
      <c r="N670" s="147">
        <f t="shared" si="44"/>
        <v>301469.02500000002</v>
      </c>
      <c r="O670" s="147">
        <f t="shared" si="45"/>
        <v>301469.02500000002</v>
      </c>
      <c r="P670" s="140"/>
    </row>
    <row r="671" spans="1:16" s="31" customFormat="1" ht="29.25" customHeight="1">
      <c r="A671" s="158">
        <v>15</v>
      </c>
      <c r="B671" s="200" t="s">
        <v>36</v>
      </c>
      <c r="C671" s="171" t="s">
        <v>1395</v>
      </c>
      <c r="D671" s="158" t="s">
        <v>1199</v>
      </c>
      <c r="E671" s="171" t="s">
        <v>1381</v>
      </c>
      <c r="F671" s="156">
        <v>44090</v>
      </c>
      <c r="G671" s="156">
        <v>44330</v>
      </c>
      <c r="H671" s="144">
        <v>7000000</v>
      </c>
      <c r="I671" s="144">
        <v>3167150</v>
      </c>
      <c r="J671" s="144">
        <f t="shared" si="41"/>
        <v>3832850</v>
      </c>
      <c r="K671" s="141"/>
      <c r="L671" s="147">
        <f t="shared" si="42"/>
        <v>958212.5</v>
      </c>
      <c r="M671" s="147">
        <f t="shared" si="43"/>
        <v>958212.5</v>
      </c>
      <c r="N671" s="147">
        <f t="shared" si="44"/>
        <v>958212.5</v>
      </c>
      <c r="O671" s="147">
        <f t="shared" si="45"/>
        <v>958212.5</v>
      </c>
      <c r="P671" s="140"/>
    </row>
    <row r="672" spans="1:16" s="31" customFormat="1" ht="29.25" customHeight="1">
      <c r="A672" s="200">
        <v>16</v>
      </c>
      <c r="B672" s="200" t="s">
        <v>36</v>
      </c>
      <c r="C672" s="171" t="s">
        <v>1396</v>
      </c>
      <c r="D672" s="158" t="s">
        <v>1199</v>
      </c>
      <c r="E672" s="171" t="s">
        <v>1381</v>
      </c>
      <c r="F672" s="156">
        <v>44090</v>
      </c>
      <c r="G672" s="156">
        <v>44260</v>
      </c>
      <c r="H672" s="144">
        <v>2300000</v>
      </c>
      <c r="I672" s="144">
        <v>1219071.3000000003</v>
      </c>
      <c r="J672" s="144">
        <f t="shared" si="41"/>
        <v>1080928.6999999997</v>
      </c>
      <c r="K672" s="141"/>
      <c r="L672" s="147">
        <f t="shared" si="42"/>
        <v>270232.17499999993</v>
      </c>
      <c r="M672" s="147">
        <f t="shared" si="43"/>
        <v>270232.17499999993</v>
      </c>
      <c r="N672" s="147">
        <f t="shared" si="44"/>
        <v>270232.17499999993</v>
      </c>
      <c r="O672" s="147">
        <f t="shared" si="45"/>
        <v>270232.17499999993</v>
      </c>
      <c r="P672" s="140"/>
    </row>
    <row r="673" spans="1:16" s="31" customFormat="1" ht="29.25" customHeight="1">
      <c r="A673" s="158">
        <v>17</v>
      </c>
      <c r="B673" s="200" t="s">
        <v>36</v>
      </c>
      <c r="C673" s="171" t="s">
        <v>1397</v>
      </c>
      <c r="D673" s="158" t="s">
        <v>1199</v>
      </c>
      <c r="E673" s="171" t="s">
        <v>1381</v>
      </c>
      <c r="F673" s="156">
        <v>44090</v>
      </c>
      <c r="G673" s="156">
        <v>44330</v>
      </c>
      <c r="H673" s="144">
        <v>4900000</v>
      </c>
      <c r="I673" s="144">
        <v>2467184.2999999998</v>
      </c>
      <c r="J673" s="144">
        <f t="shared" si="41"/>
        <v>2432815.7000000002</v>
      </c>
      <c r="K673" s="141"/>
      <c r="L673" s="147">
        <f t="shared" si="42"/>
        <v>608203.92500000005</v>
      </c>
      <c r="M673" s="147">
        <f t="shared" si="43"/>
        <v>608203.92500000005</v>
      </c>
      <c r="N673" s="147">
        <f t="shared" si="44"/>
        <v>608203.92500000005</v>
      </c>
      <c r="O673" s="147">
        <f t="shared" si="45"/>
        <v>608203.92500000005</v>
      </c>
      <c r="P673" s="140"/>
    </row>
    <row r="674" spans="1:16" s="31" customFormat="1" ht="29.25" customHeight="1">
      <c r="A674" s="158">
        <v>18</v>
      </c>
      <c r="B674" s="200" t="s">
        <v>36</v>
      </c>
      <c r="C674" s="171" t="s">
        <v>1398</v>
      </c>
      <c r="D674" s="158" t="s">
        <v>1399</v>
      </c>
      <c r="E674" s="171" t="s">
        <v>1381</v>
      </c>
      <c r="F674" s="156">
        <v>44090</v>
      </c>
      <c r="G674" s="156">
        <v>44330</v>
      </c>
      <c r="H674" s="144">
        <v>6150000</v>
      </c>
      <c r="I674" s="144">
        <v>2493818.85</v>
      </c>
      <c r="J674" s="144">
        <f t="shared" si="41"/>
        <v>3656181.15</v>
      </c>
      <c r="K674" s="141"/>
      <c r="L674" s="147">
        <f t="shared" si="42"/>
        <v>914045.28749999998</v>
      </c>
      <c r="M674" s="147">
        <f t="shared" si="43"/>
        <v>914045.28749999998</v>
      </c>
      <c r="N674" s="147">
        <f t="shared" si="44"/>
        <v>914045.28749999998</v>
      </c>
      <c r="O674" s="147">
        <f t="shared" si="45"/>
        <v>914045.28749999998</v>
      </c>
      <c r="P674" s="140"/>
    </row>
    <row r="675" spans="1:16" s="31" customFormat="1" ht="29.25" customHeight="1">
      <c r="A675" s="200">
        <v>19</v>
      </c>
      <c r="B675" s="200" t="s">
        <v>36</v>
      </c>
      <c r="C675" s="171" t="s">
        <v>1400</v>
      </c>
      <c r="D675" s="158" t="s">
        <v>1399</v>
      </c>
      <c r="E675" s="171" t="s">
        <v>1381</v>
      </c>
      <c r="F675" s="156">
        <v>44090</v>
      </c>
      <c r="G675" s="156">
        <v>44260</v>
      </c>
      <c r="H675" s="144">
        <v>3840000</v>
      </c>
      <c r="I675" s="144">
        <v>2164800</v>
      </c>
      <c r="J675" s="144">
        <f t="shared" si="41"/>
        <v>1675200</v>
      </c>
      <c r="K675" s="141"/>
      <c r="L675" s="147">
        <f t="shared" si="42"/>
        <v>418800</v>
      </c>
      <c r="M675" s="147">
        <f t="shared" si="43"/>
        <v>418800</v>
      </c>
      <c r="N675" s="147">
        <f t="shared" si="44"/>
        <v>418800</v>
      </c>
      <c r="O675" s="147">
        <f t="shared" si="45"/>
        <v>418800</v>
      </c>
      <c r="P675" s="140"/>
    </row>
    <row r="676" spans="1:16" s="31" customFormat="1" ht="29.25" customHeight="1">
      <c r="A676" s="158">
        <v>20</v>
      </c>
      <c r="B676" s="200" t="s">
        <v>36</v>
      </c>
      <c r="C676" s="171" t="s">
        <v>1401</v>
      </c>
      <c r="D676" s="158" t="s">
        <v>1402</v>
      </c>
      <c r="E676" s="171" t="s">
        <v>1381</v>
      </c>
      <c r="F676" s="156">
        <v>44090</v>
      </c>
      <c r="G676" s="156">
        <v>44300</v>
      </c>
      <c r="H676" s="144">
        <v>4850000</v>
      </c>
      <c r="I676" s="144">
        <v>2159899</v>
      </c>
      <c r="J676" s="144">
        <f t="shared" si="41"/>
        <v>2690101</v>
      </c>
      <c r="K676" s="141"/>
      <c r="L676" s="147">
        <f t="shared" si="42"/>
        <v>672525.25</v>
      </c>
      <c r="M676" s="147">
        <f t="shared" si="43"/>
        <v>672525.25</v>
      </c>
      <c r="N676" s="147">
        <f t="shared" si="44"/>
        <v>672525.25</v>
      </c>
      <c r="O676" s="147">
        <f t="shared" si="45"/>
        <v>672525.25</v>
      </c>
      <c r="P676" s="140"/>
    </row>
    <row r="677" spans="1:16" s="31" customFormat="1" ht="29.25" customHeight="1">
      <c r="A677" s="158">
        <v>21</v>
      </c>
      <c r="B677" s="200" t="s">
        <v>36</v>
      </c>
      <c r="C677" s="171" t="s">
        <v>1403</v>
      </c>
      <c r="D677" s="158" t="s">
        <v>1399</v>
      </c>
      <c r="E677" s="171" t="s">
        <v>1381</v>
      </c>
      <c r="F677" s="156">
        <v>44090</v>
      </c>
      <c r="G677" s="156">
        <v>44330</v>
      </c>
      <c r="H677" s="144">
        <v>7500000</v>
      </c>
      <c r="I677" s="144">
        <v>4037430</v>
      </c>
      <c r="J677" s="144">
        <f t="shared" si="41"/>
        <v>3462570</v>
      </c>
      <c r="K677" s="141"/>
      <c r="L677" s="147">
        <f t="shared" si="42"/>
        <v>865642.5</v>
      </c>
      <c r="M677" s="147">
        <f t="shared" si="43"/>
        <v>865642.5</v>
      </c>
      <c r="N677" s="147">
        <f t="shared" si="44"/>
        <v>865642.5</v>
      </c>
      <c r="O677" s="147">
        <f t="shared" si="45"/>
        <v>865642.5</v>
      </c>
      <c r="P677" s="140"/>
    </row>
    <row r="678" spans="1:16" s="31" customFormat="1" ht="29.25" customHeight="1">
      <c r="A678" s="200">
        <v>22</v>
      </c>
      <c r="B678" s="200" t="s">
        <v>36</v>
      </c>
      <c r="C678" s="171" t="s">
        <v>1404</v>
      </c>
      <c r="D678" s="158" t="s">
        <v>1405</v>
      </c>
      <c r="E678" s="171" t="s">
        <v>1381</v>
      </c>
      <c r="F678" s="156">
        <v>44090</v>
      </c>
      <c r="G678" s="156">
        <v>44260</v>
      </c>
      <c r="H678" s="144">
        <v>2495000</v>
      </c>
      <c r="I678" s="144">
        <v>1253867.2399999998</v>
      </c>
      <c r="J678" s="144">
        <f t="shared" si="41"/>
        <v>1241132.7600000002</v>
      </c>
      <c r="K678" s="141"/>
      <c r="L678" s="147">
        <f t="shared" si="42"/>
        <v>310283.19000000006</v>
      </c>
      <c r="M678" s="147">
        <f t="shared" si="43"/>
        <v>310283.19000000006</v>
      </c>
      <c r="N678" s="147">
        <f t="shared" si="44"/>
        <v>310283.19000000006</v>
      </c>
      <c r="O678" s="147">
        <f t="shared" si="45"/>
        <v>310283.19000000006</v>
      </c>
      <c r="P678" s="140"/>
    </row>
    <row r="679" spans="1:16" s="31" customFormat="1" ht="29.25" customHeight="1">
      <c r="A679" s="158">
        <v>23</v>
      </c>
      <c r="B679" s="200" t="s">
        <v>36</v>
      </c>
      <c r="C679" s="171" t="s">
        <v>1406</v>
      </c>
      <c r="D679" s="158" t="s">
        <v>1407</v>
      </c>
      <c r="E679" s="171" t="s">
        <v>1381</v>
      </c>
      <c r="F679" s="156">
        <v>44090</v>
      </c>
      <c r="G679" s="156">
        <v>44260</v>
      </c>
      <c r="H679" s="144">
        <v>480000</v>
      </c>
      <c r="I679" s="144">
        <v>286111.68</v>
      </c>
      <c r="J679" s="144">
        <f t="shared" si="41"/>
        <v>193888.32</v>
      </c>
      <c r="K679" s="141"/>
      <c r="L679" s="147">
        <f t="shared" si="42"/>
        <v>48472.08</v>
      </c>
      <c r="M679" s="147">
        <f t="shared" si="43"/>
        <v>48472.08</v>
      </c>
      <c r="N679" s="147">
        <f t="shared" si="44"/>
        <v>48472.08</v>
      </c>
      <c r="O679" s="147">
        <f t="shared" si="45"/>
        <v>48472.08</v>
      </c>
      <c r="P679" s="140"/>
    </row>
    <row r="680" spans="1:16" s="31" customFormat="1" ht="29.25" customHeight="1">
      <c r="A680" s="158">
        <v>24</v>
      </c>
      <c r="B680" s="200" t="s">
        <v>36</v>
      </c>
      <c r="C680" s="171" t="s">
        <v>1408</v>
      </c>
      <c r="D680" s="158" t="s">
        <v>1407</v>
      </c>
      <c r="E680" s="171" t="s">
        <v>1381</v>
      </c>
      <c r="F680" s="156">
        <v>44090</v>
      </c>
      <c r="G680" s="156">
        <v>44330</v>
      </c>
      <c r="H680" s="144">
        <v>5500000</v>
      </c>
      <c r="I680" s="144">
        <v>2737091.5</v>
      </c>
      <c r="J680" s="144">
        <f t="shared" si="41"/>
        <v>2762908.5</v>
      </c>
      <c r="K680" s="141"/>
      <c r="L680" s="147">
        <f t="shared" si="42"/>
        <v>690727.125</v>
      </c>
      <c r="M680" s="147">
        <f t="shared" si="43"/>
        <v>690727.125</v>
      </c>
      <c r="N680" s="147">
        <f t="shared" si="44"/>
        <v>690727.125</v>
      </c>
      <c r="O680" s="147">
        <f t="shared" si="45"/>
        <v>690727.125</v>
      </c>
      <c r="P680" s="140"/>
    </row>
    <row r="681" spans="1:16" s="31" customFormat="1" ht="29.25" customHeight="1">
      <c r="A681" s="200">
        <v>25</v>
      </c>
      <c r="B681" s="200" t="s">
        <v>36</v>
      </c>
      <c r="C681" s="171" t="s">
        <v>1409</v>
      </c>
      <c r="D681" s="158" t="s">
        <v>1193</v>
      </c>
      <c r="E681" s="171" t="s">
        <v>1381</v>
      </c>
      <c r="F681" s="156">
        <v>44090</v>
      </c>
      <c r="G681" s="156">
        <v>44300</v>
      </c>
      <c r="H681" s="144">
        <v>4000000</v>
      </c>
      <c r="I681" s="144">
        <v>2041360</v>
      </c>
      <c r="J681" s="144">
        <f t="shared" si="41"/>
        <v>1958640</v>
      </c>
      <c r="K681" s="141"/>
      <c r="L681" s="147">
        <f t="shared" si="42"/>
        <v>489660</v>
      </c>
      <c r="M681" s="147">
        <f t="shared" si="43"/>
        <v>489660</v>
      </c>
      <c r="N681" s="147">
        <f t="shared" si="44"/>
        <v>489660</v>
      </c>
      <c r="O681" s="147">
        <f t="shared" si="45"/>
        <v>489660</v>
      </c>
      <c r="P681" s="140"/>
    </row>
    <row r="682" spans="1:16" s="31" customFormat="1" ht="29.25" customHeight="1">
      <c r="A682" s="158">
        <v>26</v>
      </c>
      <c r="B682" s="200" t="s">
        <v>36</v>
      </c>
      <c r="C682" s="171" t="s">
        <v>1410</v>
      </c>
      <c r="D682" s="158" t="s">
        <v>1193</v>
      </c>
      <c r="E682" s="171" t="s">
        <v>1381</v>
      </c>
      <c r="F682" s="156">
        <v>44090</v>
      </c>
      <c r="G682" s="156">
        <v>44330</v>
      </c>
      <c r="H682" s="144">
        <v>5500000</v>
      </c>
      <c r="I682" s="144">
        <v>2679836.5</v>
      </c>
      <c r="J682" s="144">
        <f t="shared" si="41"/>
        <v>2820163.5</v>
      </c>
      <c r="K682" s="141"/>
      <c r="L682" s="147">
        <f t="shared" si="42"/>
        <v>705040.875</v>
      </c>
      <c r="M682" s="147">
        <f t="shared" si="43"/>
        <v>705040.875</v>
      </c>
      <c r="N682" s="147">
        <f t="shared" si="44"/>
        <v>705040.875</v>
      </c>
      <c r="O682" s="147">
        <f t="shared" si="45"/>
        <v>705040.875</v>
      </c>
      <c r="P682" s="140"/>
    </row>
    <row r="683" spans="1:16" s="31" customFormat="1" ht="29.25" customHeight="1">
      <c r="A683" s="158">
        <v>27</v>
      </c>
      <c r="B683" s="200" t="s">
        <v>36</v>
      </c>
      <c r="C683" s="171" t="s">
        <v>1411</v>
      </c>
      <c r="D683" s="158" t="s">
        <v>1193</v>
      </c>
      <c r="E683" s="171" t="s">
        <v>1381</v>
      </c>
      <c r="F683" s="156">
        <v>44090</v>
      </c>
      <c r="G683" s="156">
        <v>44330</v>
      </c>
      <c r="H683" s="144">
        <v>7740000</v>
      </c>
      <c r="I683" s="144">
        <v>4146875.28</v>
      </c>
      <c r="J683" s="144">
        <f t="shared" si="41"/>
        <v>3593124.72</v>
      </c>
      <c r="K683" s="141"/>
      <c r="L683" s="147">
        <f t="shared" si="42"/>
        <v>898281.18</v>
      </c>
      <c r="M683" s="147">
        <f t="shared" si="43"/>
        <v>898281.18</v>
      </c>
      <c r="N683" s="147">
        <f t="shared" si="44"/>
        <v>898281.18</v>
      </c>
      <c r="O683" s="147">
        <f t="shared" si="45"/>
        <v>898281.18</v>
      </c>
      <c r="P683" s="140"/>
    </row>
    <row r="684" spans="1:16" s="31" customFormat="1" ht="29.25" customHeight="1">
      <c r="A684" s="200">
        <v>28</v>
      </c>
      <c r="B684" s="200" t="s">
        <v>36</v>
      </c>
      <c r="C684" s="171" t="s">
        <v>1412</v>
      </c>
      <c r="D684" s="158" t="s">
        <v>200</v>
      </c>
      <c r="E684" s="171" t="s">
        <v>1381</v>
      </c>
      <c r="F684" s="156">
        <v>44090</v>
      </c>
      <c r="G684" s="156">
        <v>44260</v>
      </c>
      <c r="H684" s="144">
        <v>2200000</v>
      </c>
      <c r="I684" s="144">
        <v>1620768.6</v>
      </c>
      <c r="J684" s="144">
        <f t="shared" si="41"/>
        <v>579231.39999999991</v>
      </c>
      <c r="K684" s="141"/>
      <c r="L684" s="147">
        <f t="shared" si="42"/>
        <v>144807.84999999998</v>
      </c>
      <c r="M684" s="147">
        <f t="shared" si="43"/>
        <v>144807.84999999998</v>
      </c>
      <c r="N684" s="147">
        <f t="shared" si="44"/>
        <v>144807.84999999998</v>
      </c>
      <c r="O684" s="147">
        <f t="shared" si="45"/>
        <v>144807.84999999998</v>
      </c>
      <c r="P684" s="140"/>
    </row>
    <row r="685" spans="1:16" s="31" customFormat="1" ht="29.25" customHeight="1">
      <c r="A685" s="158">
        <v>29</v>
      </c>
      <c r="B685" s="200" t="s">
        <v>36</v>
      </c>
      <c r="C685" s="171" t="s">
        <v>1413</v>
      </c>
      <c r="D685" s="158" t="s">
        <v>200</v>
      </c>
      <c r="E685" s="171" t="s">
        <v>1381</v>
      </c>
      <c r="F685" s="156">
        <v>44092</v>
      </c>
      <c r="G685" s="156">
        <v>44262</v>
      </c>
      <c r="H685" s="144">
        <v>3492000</v>
      </c>
      <c r="I685" s="144">
        <v>1434132.97</v>
      </c>
      <c r="J685" s="144">
        <f t="shared" si="41"/>
        <v>2057867.03</v>
      </c>
      <c r="K685" s="141"/>
      <c r="L685" s="147">
        <f t="shared" si="42"/>
        <v>514466.75750000001</v>
      </c>
      <c r="M685" s="147">
        <f t="shared" si="43"/>
        <v>514466.75750000001</v>
      </c>
      <c r="N685" s="147">
        <f t="shared" si="44"/>
        <v>514466.75750000001</v>
      </c>
      <c r="O685" s="147">
        <f t="shared" si="45"/>
        <v>514466.75750000001</v>
      </c>
      <c r="P685" s="140"/>
    </row>
    <row r="686" spans="1:16" s="31" customFormat="1" ht="29.25" customHeight="1">
      <c r="A686" s="158">
        <v>30</v>
      </c>
      <c r="B686" s="200" t="s">
        <v>36</v>
      </c>
      <c r="C686" s="171" t="s">
        <v>1414</v>
      </c>
      <c r="D686" s="158" t="s">
        <v>1197</v>
      </c>
      <c r="E686" s="171" t="s">
        <v>1381</v>
      </c>
      <c r="F686" s="156">
        <v>44092</v>
      </c>
      <c r="G686" s="156">
        <v>44262</v>
      </c>
      <c r="H686" s="144">
        <v>3477000</v>
      </c>
      <c r="I686" s="144">
        <v>1667899.5159999998</v>
      </c>
      <c r="J686" s="144">
        <f t="shared" si="41"/>
        <v>1809100.4840000002</v>
      </c>
      <c r="K686" s="141"/>
      <c r="L686" s="147">
        <f t="shared" si="42"/>
        <v>452275.12100000004</v>
      </c>
      <c r="M686" s="147">
        <f t="shared" si="43"/>
        <v>452275.12100000004</v>
      </c>
      <c r="N686" s="147">
        <f t="shared" si="44"/>
        <v>452275.12100000004</v>
      </c>
      <c r="O686" s="147">
        <f t="shared" si="45"/>
        <v>452275.12100000004</v>
      </c>
      <c r="P686" s="140"/>
    </row>
    <row r="687" spans="1:16" s="31" customFormat="1" ht="29.25" customHeight="1">
      <c r="A687" s="200">
        <v>31</v>
      </c>
      <c r="B687" s="200" t="s">
        <v>36</v>
      </c>
      <c r="C687" s="171" t="s">
        <v>1415</v>
      </c>
      <c r="D687" s="158" t="s">
        <v>1197</v>
      </c>
      <c r="E687" s="171" t="s">
        <v>1381</v>
      </c>
      <c r="F687" s="156">
        <v>44092</v>
      </c>
      <c r="G687" s="156">
        <v>44262</v>
      </c>
      <c r="H687" s="144">
        <v>6052000</v>
      </c>
      <c r="I687" s="144">
        <v>2412812.5499999998</v>
      </c>
      <c r="J687" s="144">
        <f t="shared" si="41"/>
        <v>3639187.45</v>
      </c>
      <c r="K687" s="141"/>
      <c r="L687" s="147">
        <f t="shared" si="42"/>
        <v>909796.86250000005</v>
      </c>
      <c r="M687" s="147">
        <f t="shared" si="43"/>
        <v>909796.86250000005</v>
      </c>
      <c r="N687" s="147">
        <f t="shared" si="44"/>
        <v>909796.86250000005</v>
      </c>
      <c r="O687" s="147">
        <f t="shared" si="45"/>
        <v>909796.86250000005</v>
      </c>
      <c r="P687" s="140"/>
    </row>
    <row r="688" spans="1:16" s="31" customFormat="1" ht="29.25" customHeight="1">
      <c r="A688" s="158">
        <v>32</v>
      </c>
      <c r="B688" s="200" t="s">
        <v>36</v>
      </c>
      <c r="C688" s="171" t="s">
        <v>1416</v>
      </c>
      <c r="D688" s="158" t="s">
        <v>1197</v>
      </c>
      <c r="E688" s="171" t="s">
        <v>1381</v>
      </c>
      <c r="F688" s="156">
        <v>44092</v>
      </c>
      <c r="G688" s="156">
        <v>44262</v>
      </c>
      <c r="H688" s="144">
        <v>2115000</v>
      </c>
      <c r="I688" s="144">
        <v>671339.06999999983</v>
      </c>
      <c r="J688" s="144">
        <f t="shared" si="41"/>
        <v>1443660.9300000002</v>
      </c>
      <c r="K688" s="141"/>
      <c r="L688" s="147">
        <f t="shared" si="42"/>
        <v>360915.23250000004</v>
      </c>
      <c r="M688" s="147">
        <f t="shared" si="43"/>
        <v>360915.23250000004</v>
      </c>
      <c r="N688" s="147">
        <f t="shared" si="44"/>
        <v>360915.23250000004</v>
      </c>
      <c r="O688" s="147">
        <f t="shared" si="45"/>
        <v>360915.23250000004</v>
      </c>
      <c r="P688" s="140"/>
    </row>
    <row r="689" spans="1:16" s="31" customFormat="1" ht="29.25" customHeight="1">
      <c r="A689" s="158">
        <v>33</v>
      </c>
      <c r="B689" s="200" t="s">
        <v>36</v>
      </c>
      <c r="C689" s="171" t="s">
        <v>1417</v>
      </c>
      <c r="D689" s="158" t="s">
        <v>1197</v>
      </c>
      <c r="E689" s="171" t="s">
        <v>1381</v>
      </c>
      <c r="F689" s="156">
        <v>44092</v>
      </c>
      <c r="G689" s="156">
        <v>44262</v>
      </c>
      <c r="H689" s="144">
        <v>3053000</v>
      </c>
      <c r="I689" s="144">
        <v>1590970.2</v>
      </c>
      <c r="J689" s="144">
        <f t="shared" ref="J689:J720" si="46">H689-I689</f>
        <v>1462029.8</v>
      </c>
      <c r="K689" s="141"/>
      <c r="L689" s="147">
        <f t="shared" ref="L689:L720" si="47">J689*0.25</f>
        <v>365507.45</v>
      </c>
      <c r="M689" s="147">
        <f t="shared" ref="M689:M720" si="48">J689*0.25</f>
        <v>365507.45</v>
      </c>
      <c r="N689" s="147">
        <f t="shared" ref="N689:N720" si="49">J689*0.25</f>
        <v>365507.45</v>
      </c>
      <c r="O689" s="147">
        <f t="shared" ref="O689:O720" si="50">J689*0.25</f>
        <v>365507.45</v>
      </c>
      <c r="P689" s="140"/>
    </row>
    <row r="690" spans="1:16" s="31" customFormat="1" ht="29.25" customHeight="1">
      <c r="A690" s="200">
        <v>34</v>
      </c>
      <c r="B690" s="200" t="s">
        <v>36</v>
      </c>
      <c r="C690" s="171" t="s">
        <v>1418</v>
      </c>
      <c r="D690" s="158" t="s">
        <v>1191</v>
      </c>
      <c r="E690" s="171" t="s">
        <v>1381</v>
      </c>
      <c r="F690" s="156">
        <v>44090</v>
      </c>
      <c r="G690" s="156">
        <v>44260</v>
      </c>
      <c r="H690" s="144">
        <v>2500000</v>
      </c>
      <c r="I690" s="144">
        <v>1608857.5</v>
      </c>
      <c r="J690" s="144">
        <f t="shared" si="46"/>
        <v>891142.5</v>
      </c>
      <c r="K690" s="141"/>
      <c r="L690" s="147">
        <f t="shared" si="47"/>
        <v>222785.625</v>
      </c>
      <c r="M690" s="147">
        <f t="shared" si="48"/>
        <v>222785.625</v>
      </c>
      <c r="N690" s="147">
        <f t="shared" si="49"/>
        <v>222785.625</v>
      </c>
      <c r="O690" s="147">
        <f t="shared" si="50"/>
        <v>222785.625</v>
      </c>
      <c r="P690" s="140"/>
    </row>
    <row r="691" spans="1:16" s="31" customFormat="1" ht="29.25" customHeight="1">
      <c r="A691" s="158">
        <v>35</v>
      </c>
      <c r="B691" s="200" t="s">
        <v>36</v>
      </c>
      <c r="C691" s="171" t="s">
        <v>1419</v>
      </c>
      <c r="D691" s="158" t="s">
        <v>1191</v>
      </c>
      <c r="E691" s="171" t="s">
        <v>1381</v>
      </c>
      <c r="F691" s="156">
        <v>44090</v>
      </c>
      <c r="G691" s="156">
        <v>44260</v>
      </c>
      <c r="H691" s="144">
        <v>1500000</v>
      </c>
      <c r="I691" s="144">
        <v>563004</v>
      </c>
      <c r="J691" s="144">
        <f t="shared" si="46"/>
        <v>936996</v>
      </c>
      <c r="K691" s="141"/>
      <c r="L691" s="147">
        <f t="shared" si="47"/>
        <v>234249</v>
      </c>
      <c r="M691" s="147">
        <f t="shared" si="48"/>
        <v>234249</v>
      </c>
      <c r="N691" s="147">
        <f t="shared" si="49"/>
        <v>234249</v>
      </c>
      <c r="O691" s="147">
        <f t="shared" si="50"/>
        <v>234249</v>
      </c>
      <c r="P691" s="140"/>
    </row>
    <row r="692" spans="1:16" s="31" customFormat="1" ht="29.25" customHeight="1">
      <c r="A692" s="158">
        <v>36</v>
      </c>
      <c r="B692" s="200" t="s">
        <v>36</v>
      </c>
      <c r="C692" s="171" t="s">
        <v>1420</v>
      </c>
      <c r="D692" s="158" t="s">
        <v>1421</v>
      </c>
      <c r="E692" s="171" t="s">
        <v>1381</v>
      </c>
      <c r="F692" s="156">
        <v>44090</v>
      </c>
      <c r="G692" s="156">
        <v>44300</v>
      </c>
      <c r="H692" s="144">
        <v>4300000</v>
      </c>
      <c r="I692" s="144">
        <v>2385278.7999999998</v>
      </c>
      <c r="J692" s="144">
        <f t="shared" si="46"/>
        <v>1914721.2000000002</v>
      </c>
      <c r="K692" s="141"/>
      <c r="L692" s="147">
        <f t="shared" si="47"/>
        <v>478680.30000000005</v>
      </c>
      <c r="M692" s="147">
        <f t="shared" si="48"/>
        <v>478680.30000000005</v>
      </c>
      <c r="N692" s="147">
        <f t="shared" si="49"/>
        <v>478680.30000000005</v>
      </c>
      <c r="O692" s="147">
        <f t="shared" si="50"/>
        <v>478680.30000000005</v>
      </c>
      <c r="P692" s="140"/>
    </row>
    <row r="693" spans="1:16" s="31" customFormat="1" ht="29.25" customHeight="1">
      <c r="A693" s="200">
        <v>37</v>
      </c>
      <c r="B693" s="200" t="s">
        <v>36</v>
      </c>
      <c r="C693" s="171" t="s">
        <v>1422</v>
      </c>
      <c r="D693" s="158" t="s">
        <v>196</v>
      </c>
      <c r="E693" s="171" t="s">
        <v>1381</v>
      </c>
      <c r="F693" s="156">
        <v>44090</v>
      </c>
      <c r="G693" s="156">
        <v>44260</v>
      </c>
      <c r="H693" s="144">
        <v>1250000</v>
      </c>
      <c r="I693" s="144">
        <v>637040</v>
      </c>
      <c r="J693" s="144">
        <f t="shared" si="46"/>
        <v>612960</v>
      </c>
      <c r="K693" s="141"/>
      <c r="L693" s="147">
        <f t="shared" si="47"/>
        <v>153240</v>
      </c>
      <c r="M693" s="147">
        <f t="shared" si="48"/>
        <v>153240</v>
      </c>
      <c r="N693" s="147">
        <f t="shared" si="49"/>
        <v>153240</v>
      </c>
      <c r="O693" s="147">
        <f t="shared" si="50"/>
        <v>153240</v>
      </c>
      <c r="P693" s="140"/>
    </row>
    <row r="694" spans="1:16" s="31" customFormat="1" ht="29.25" customHeight="1">
      <c r="A694" s="158">
        <v>38</v>
      </c>
      <c r="B694" s="200" t="s">
        <v>36</v>
      </c>
      <c r="C694" s="171" t="s">
        <v>1423</v>
      </c>
      <c r="D694" s="158" t="s">
        <v>196</v>
      </c>
      <c r="E694" s="171" t="s">
        <v>1381</v>
      </c>
      <c r="F694" s="156">
        <v>44090</v>
      </c>
      <c r="G694" s="156">
        <v>44260</v>
      </c>
      <c r="H694" s="144">
        <v>1800000</v>
      </c>
      <c r="I694" s="144">
        <v>925705.79999999993</v>
      </c>
      <c r="J694" s="144">
        <f t="shared" si="46"/>
        <v>874294.20000000007</v>
      </c>
      <c r="K694" s="141"/>
      <c r="L694" s="147">
        <f t="shared" si="47"/>
        <v>218573.55000000002</v>
      </c>
      <c r="M694" s="147">
        <f t="shared" si="48"/>
        <v>218573.55000000002</v>
      </c>
      <c r="N694" s="147">
        <f t="shared" si="49"/>
        <v>218573.55000000002</v>
      </c>
      <c r="O694" s="147">
        <f t="shared" si="50"/>
        <v>218573.55000000002</v>
      </c>
      <c r="P694" s="140"/>
    </row>
    <row r="695" spans="1:16" s="31" customFormat="1" ht="29.25" customHeight="1">
      <c r="A695" s="158">
        <v>39</v>
      </c>
      <c r="B695" s="200" t="s">
        <v>36</v>
      </c>
      <c r="C695" s="171" t="s">
        <v>1424</v>
      </c>
      <c r="D695" s="158" t="s">
        <v>196</v>
      </c>
      <c r="E695" s="171" t="s">
        <v>1381</v>
      </c>
      <c r="F695" s="156">
        <v>44090</v>
      </c>
      <c r="G695" s="156">
        <v>44260</v>
      </c>
      <c r="H695" s="144">
        <v>2070000</v>
      </c>
      <c r="I695" s="144">
        <v>449263.65</v>
      </c>
      <c r="J695" s="144">
        <f t="shared" si="46"/>
        <v>1620736.35</v>
      </c>
      <c r="K695" s="141"/>
      <c r="L695" s="147">
        <f t="shared" si="47"/>
        <v>405184.08750000002</v>
      </c>
      <c r="M695" s="147">
        <f t="shared" si="48"/>
        <v>405184.08750000002</v>
      </c>
      <c r="N695" s="147">
        <f t="shared" si="49"/>
        <v>405184.08750000002</v>
      </c>
      <c r="O695" s="147">
        <f t="shared" si="50"/>
        <v>405184.08750000002</v>
      </c>
      <c r="P695" s="140"/>
    </row>
    <row r="696" spans="1:16" s="31" customFormat="1" ht="29.25" customHeight="1">
      <c r="A696" s="200">
        <v>40</v>
      </c>
      <c r="B696" s="200" t="s">
        <v>36</v>
      </c>
      <c r="C696" s="171" t="s">
        <v>1425</v>
      </c>
      <c r="D696" s="158" t="s">
        <v>1193</v>
      </c>
      <c r="E696" s="171" t="s">
        <v>1381</v>
      </c>
      <c r="F696" s="156">
        <v>44090</v>
      </c>
      <c r="G696" s="156">
        <v>44450</v>
      </c>
      <c r="H696" s="144">
        <v>9900000</v>
      </c>
      <c r="I696" s="144">
        <v>1083317.3999999999</v>
      </c>
      <c r="J696" s="144">
        <f t="shared" si="46"/>
        <v>8816682.5999999996</v>
      </c>
      <c r="K696" s="141"/>
      <c r="L696" s="147">
        <f t="shared" si="47"/>
        <v>2204170.65</v>
      </c>
      <c r="M696" s="147">
        <f t="shared" si="48"/>
        <v>2204170.65</v>
      </c>
      <c r="N696" s="147">
        <f t="shared" si="49"/>
        <v>2204170.65</v>
      </c>
      <c r="O696" s="147">
        <f t="shared" si="50"/>
        <v>2204170.65</v>
      </c>
      <c r="P696" s="140"/>
    </row>
    <row r="697" spans="1:16" s="31" customFormat="1" ht="29.25" customHeight="1">
      <c r="A697" s="158">
        <v>41</v>
      </c>
      <c r="B697" s="200" t="s">
        <v>36</v>
      </c>
      <c r="C697" s="171" t="s">
        <v>1426</v>
      </c>
      <c r="D697" s="158" t="s">
        <v>1402</v>
      </c>
      <c r="E697" s="171" t="s">
        <v>1381</v>
      </c>
      <c r="F697" s="156">
        <v>44090</v>
      </c>
      <c r="G697" s="156">
        <v>44260</v>
      </c>
      <c r="H697" s="144">
        <v>4230000</v>
      </c>
      <c r="I697" s="144">
        <v>2392268.04</v>
      </c>
      <c r="J697" s="144">
        <f t="shared" si="46"/>
        <v>1837731.96</v>
      </c>
      <c r="K697" s="141"/>
      <c r="L697" s="147">
        <f t="shared" si="47"/>
        <v>459432.99</v>
      </c>
      <c r="M697" s="147">
        <f t="shared" si="48"/>
        <v>459432.99</v>
      </c>
      <c r="N697" s="147">
        <f t="shared" si="49"/>
        <v>459432.99</v>
      </c>
      <c r="O697" s="147">
        <f t="shared" si="50"/>
        <v>459432.99</v>
      </c>
      <c r="P697" s="140"/>
    </row>
    <row r="698" spans="1:16" s="31" customFormat="1" ht="29.25" customHeight="1">
      <c r="A698" s="158">
        <v>42</v>
      </c>
      <c r="B698" s="200" t="s">
        <v>36</v>
      </c>
      <c r="C698" s="171" t="s">
        <v>1427</v>
      </c>
      <c r="D698" s="158" t="s">
        <v>1402</v>
      </c>
      <c r="E698" s="171" t="s">
        <v>1381</v>
      </c>
      <c r="F698" s="156">
        <v>44090</v>
      </c>
      <c r="G698" s="156">
        <v>44260</v>
      </c>
      <c r="H698" s="144">
        <v>3250000</v>
      </c>
      <c r="I698" s="144">
        <v>1460143.75</v>
      </c>
      <c r="J698" s="144">
        <f t="shared" si="46"/>
        <v>1789856.25</v>
      </c>
      <c r="K698" s="141"/>
      <c r="L698" s="147">
        <f t="shared" si="47"/>
        <v>447464.0625</v>
      </c>
      <c r="M698" s="147">
        <f t="shared" si="48"/>
        <v>447464.0625</v>
      </c>
      <c r="N698" s="147">
        <f t="shared" si="49"/>
        <v>447464.0625</v>
      </c>
      <c r="O698" s="147">
        <f t="shared" si="50"/>
        <v>447464.0625</v>
      </c>
      <c r="P698" s="140"/>
    </row>
    <row r="699" spans="1:16" s="31" customFormat="1" ht="29.25" customHeight="1">
      <c r="A699" s="200">
        <v>43</v>
      </c>
      <c r="B699" s="200" t="s">
        <v>36</v>
      </c>
      <c r="C699" s="171" t="s">
        <v>1428</v>
      </c>
      <c r="D699" s="158" t="s">
        <v>403</v>
      </c>
      <c r="E699" s="171" t="s">
        <v>1381</v>
      </c>
      <c r="F699" s="156">
        <v>44090</v>
      </c>
      <c r="G699" s="156">
        <v>44260</v>
      </c>
      <c r="H699" s="144">
        <v>2200000</v>
      </c>
      <c r="I699" s="144">
        <v>535238</v>
      </c>
      <c r="J699" s="144">
        <f t="shared" si="46"/>
        <v>1664762</v>
      </c>
      <c r="K699" s="141"/>
      <c r="L699" s="147">
        <f t="shared" si="47"/>
        <v>416190.5</v>
      </c>
      <c r="M699" s="147">
        <f t="shared" si="48"/>
        <v>416190.5</v>
      </c>
      <c r="N699" s="147">
        <f t="shared" si="49"/>
        <v>416190.5</v>
      </c>
      <c r="O699" s="147">
        <f t="shared" si="50"/>
        <v>416190.5</v>
      </c>
      <c r="P699" s="140"/>
    </row>
    <row r="700" spans="1:16" s="31" customFormat="1" ht="29.25" customHeight="1">
      <c r="A700" s="158">
        <v>44</v>
      </c>
      <c r="B700" s="200" t="s">
        <v>36</v>
      </c>
      <c r="C700" s="171" t="s">
        <v>1429</v>
      </c>
      <c r="D700" s="158" t="s">
        <v>197</v>
      </c>
      <c r="E700" s="171" t="s">
        <v>1381</v>
      </c>
      <c r="F700" s="156">
        <v>44092</v>
      </c>
      <c r="G700" s="156">
        <v>44262</v>
      </c>
      <c r="H700" s="144">
        <v>900000</v>
      </c>
      <c r="I700" s="144">
        <v>199201.5</v>
      </c>
      <c r="J700" s="144">
        <f t="shared" si="46"/>
        <v>700798.5</v>
      </c>
      <c r="K700" s="141"/>
      <c r="L700" s="147">
        <f t="shared" si="47"/>
        <v>175199.625</v>
      </c>
      <c r="M700" s="147">
        <f t="shared" si="48"/>
        <v>175199.625</v>
      </c>
      <c r="N700" s="147">
        <f t="shared" si="49"/>
        <v>175199.625</v>
      </c>
      <c r="O700" s="147">
        <f t="shared" si="50"/>
        <v>175199.625</v>
      </c>
      <c r="P700" s="140"/>
    </row>
    <row r="701" spans="1:16" s="31" customFormat="1" ht="29.25" customHeight="1">
      <c r="A701" s="158">
        <v>45</v>
      </c>
      <c r="B701" s="200" t="s">
        <v>36</v>
      </c>
      <c r="C701" s="171" t="s">
        <v>1430</v>
      </c>
      <c r="D701" s="158" t="s">
        <v>197</v>
      </c>
      <c r="E701" s="171" t="s">
        <v>1381</v>
      </c>
      <c r="F701" s="156">
        <v>44092</v>
      </c>
      <c r="G701" s="156">
        <v>44262</v>
      </c>
      <c r="H701" s="144">
        <v>1500000</v>
      </c>
      <c r="I701" s="144">
        <v>593655</v>
      </c>
      <c r="J701" s="144">
        <f t="shared" si="46"/>
        <v>906345</v>
      </c>
      <c r="K701" s="141"/>
      <c r="L701" s="147">
        <f t="shared" si="47"/>
        <v>226586.25</v>
      </c>
      <c r="M701" s="147">
        <f t="shared" si="48"/>
        <v>226586.25</v>
      </c>
      <c r="N701" s="147">
        <f t="shared" si="49"/>
        <v>226586.25</v>
      </c>
      <c r="O701" s="147">
        <f t="shared" si="50"/>
        <v>226586.25</v>
      </c>
      <c r="P701" s="140"/>
    </row>
    <row r="702" spans="1:16" s="31" customFormat="1" ht="29.25" customHeight="1">
      <c r="A702" s="200">
        <v>46</v>
      </c>
      <c r="B702" s="200" t="s">
        <v>36</v>
      </c>
      <c r="C702" s="171" t="s">
        <v>1431</v>
      </c>
      <c r="D702" s="158" t="s">
        <v>197</v>
      </c>
      <c r="E702" s="171" t="s">
        <v>1381</v>
      </c>
      <c r="F702" s="156">
        <v>44092</v>
      </c>
      <c r="G702" s="156">
        <v>44262</v>
      </c>
      <c r="H702" s="144">
        <v>1600000</v>
      </c>
      <c r="I702" s="144">
        <v>0</v>
      </c>
      <c r="J702" s="144">
        <f t="shared" si="46"/>
        <v>1600000</v>
      </c>
      <c r="K702" s="141"/>
      <c r="L702" s="147">
        <f t="shared" si="47"/>
        <v>400000</v>
      </c>
      <c r="M702" s="147">
        <f t="shared" si="48"/>
        <v>400000</v>
      </c>
      <c r="N702" s="147">
        <f t="shared" si="49"/>
        <v>400000</v>
      </c>
      <c r="O702" s="147">
        <f t="shared" si="50"/>
        <v>400000</v>
      </c>
      <c r="P702" s="140"/>
    </row>
    <row r="703" spans="1:16" s="31" customFormat="1" ht="29.25" customHeight="1">
      <c r="A703" s="158">
        <v>47</v>
      </c>
      <c r="B703" s="200" t="s">
        <v>36</v>
      </c>
      <c r="C703" s="171" t="s">
        <v>1432</v>
      </c>
      <c r="D703" s="158" t="s">
        <v>1122</v>
      </c>
      <c r="E703" s="171" t="s">
        <v>1381</v>
      </c>
      <c r="F703" s="156">
        <v>44092</v>
      </c>
      <c r="G703" s="156">
        <v>44262</v>
      </c>
      <c r="H703" s="144">
        <v>2800000</v>
      </c>
      <c r="I703" s="144">
        <v>1417640</v>
      </c>
      <c r="J703" s="144">
        <f t="shared" si="46"/>
        <v>1382360</v>
      </c>
      <c r="K703" s="141"/>
      <c r="L703" s="147">
        <f t="shared" si="47"/>
        <v>345590</v>
      </c>
      <c r="M703" s="147">
        <f t="shared" si="48"/>
        <v>345590</v>
      </c>
      <c r="N703" s="147">
        <f t="shared" si="49"/>
        <v>345590</v>
      </c>
      <c r="O703" s="147">
        <f t="shared" si="50"/>
        <v>345590</v>
      </c>
      <c r="P703" s="140"/>
    </row>
    <row r="704" spans="1:16" s="31" customFormat="1" ht="29.25" customHeight="1">
      <c r="A704" s="158">
        <v>48</v>
      </c>
      <c r="B704" s="200" t="s">
        <v>36</v>
      </c>
      <c r="C704" s="171" t="s">
        <v>1433</v>
      </c>
      <c r="D704" s="158" t="s">
        <v>1434</v>
      </c>
      <c r="E704" s="171" t="s">
        <v>1381</v>
      </c>
      <c r="F704" s="156">
        <v>44092</v>
      </c>
      <c r="G704" s="156">
        <v>44262</v>
      </c>
      <c r="H704" s="144">
        <v>2100000</v>
      </c>
      <c r="I704" s="144">
        <v>894379.5</v>
      </c>
      <c r="J704" s="144">
        <f t="shared" si="46"/>
        <v>1205620.5</v>
      </c>
      <c r="K704" s="141"/>
      <c r="L704" s="147">
        <f t="shared" si="47"/>
        <v>301405.125</v>
      </c>
      <c r="M704" s="147">
        <f t="shared" si="48"/>
        <v>301405.125</v>
      </c>
      <c r="N704" s="147">
        <f t="shared" si="49"/>
        <v>301405.125</v>
      </c>
      <c r="O704" s="147">
        <f t="shared" si="50"/>
        <v>301405.125</v>
      </c>
      <c r="P704" s="140"/>
    </row>
    <row r="705" spans="1:16" s="31" customFormat="1" ht="29.25" customHeight="1">
      <c r="A705" s="200">
        <v>49</v>
      </c>
      <c r="B705" s="200" t="s">
        <v>36</v>
      </c>
      <c r="C705" s="171" t="s">
        <v>1435</v>
      </c>
      <c r="D705" s="158" t="s">
        <v>1434</v>
      </c>
      <c r="E705" s="171" t="s">
        <v>1381</v>
      </c>
      <c r="F705" s="156">
        <v>44092</v>
      </c>
      <c r="G705" s="156">
        <v>44262</v>
      </c>
      <c r="H705" s="144">
        <v>3300000</v>
      </c>
      <c r="I705" s="144">
        <v>982518</v>
      </c>
      <c r="J705" s="144">
        <f t="shared" si="46"/>
        <v>2317482</v>
      </c>
      <c r="K705" s="141"/>
      <c r="L705" s="147">
        <f t="shared" si="47"/>
        <v>579370.5</v>
      </c>
      <c r="M705" s="147">
        <f t="shared" si="48"/>
        <v>579370.5</v>
      </c>
      <c r="N705" s="147">
        <f t="shared" si="49"/>
        <v>579370.5</v>
      </c>
      <c r="O705" s="147">
        <f t="shared" si="50"/>
        <v>579370.5</v>
      </c>
      <c r="P705" s="140"/>
    </row>
    <row r="706" spans="1:16" s="31" customFormat="1" ht="29.25" customHeight="1">
      <c r="A706" s="158">
        <v>50</v>
      </c>
      <c r="B706" s="200" t="s">
        <v>36</v>
      </c>
      <c r="C706" s="171" t="s">
        <v>1436</v>
      </c>
      <c r="D706" s="158" t="s">
        <v>1437</v>
      </c>
      <c r="E706" s="171" t="s">
        <v>1381</v>
      </c>
      <c r="F706" s="156">
        <v>44092</v>
      </c>
      <c r="G706" s="156">
        <v>44262</v>
      </c>
      <c r="H706" s="144">
        <v>3000000</v>
      </c>
      <c r="I706" s="144">
        <v>1289160</v>
      </c>
      <c r="J706" s="144">
        <f t="shared" si="46"/>
        <v>1710840</v>
      </c>
      <c r="K706" s="141"/>
      <c r="L706" s="147">
        <f t="shared" si="47"/>
        <v>427710</v>
      </c>
      <c r="M706" s="147">
        <f t="shared" si="48"/>
        <v>427710</v>
      </c>
      <c r="N706" s="147">
        <f t="shared" si="49"/>
        <v>427710</v>
      </c>
      <c r="O706" s="147">
        <f t="shared" si="50"/>
        <v>427710</v>
      </c>
      <c r="P706" s="140"/>
    </row>
    <row r="707" spans="1:16" s="31" customFormat="1" ht="29.25" customHeight="1">
      <c r="A707" s="158">
        <v>51</v>
      </c>
      <c r="B707" s="200" t="s">
        <v>36</v>
      </c>
      <c r="C707" s="171" t="s">
        <v>1438</v>
      </c>
      <c r="D707" s="158" t="s">
        <v>1439</v>
      </c>
      <c r="E707" s="171" t="s">
        <v>1381</v>
      </c>
      <c r="F707" s="156">
        <v>44090</v>
      </c>
      <c r="G707" s="156">
        <v>44330</v>
      </c>
      <c r="H707" s="144">
        <v>2500000</v>
      </c>
      <c r="I707" s="144">
        <v>275662.5</v>
      </c>
      <c r="J707" s="144">
        <f t="shared" si="46"/>
        <v>2224337.5</v>
      </c>
      <c r="K707" s="141"/>
      <c r="L707" s="147">
        <f t="shared" si="47"/>
        <v>556084.375</v>
      </c>
      <c r="M707" s="147">
        <f t="shared" si="48"/>
        <v>556084.375</v>
      </c>
      <c r="N707" s="147">
        <f t="shared" si="49"/>
        <v>556084.375</v>
      </c>
      <c r="O707" s="147">
        <f t="shared" si="50"/>
        <v>556084.375</v>
      </c>
      <c r="P707" s="140"/>
    </row>
    <row r="708" spans="1:16" s="31" customFormat="1" ht="29.25" customHeight="1">
      <c r="A708" s="200">
        <v>52</v>
      </c>
      <c r="B708" s="200" t="s">
        <v>36</v>
      </c>
      <c r="C708" s="171" t="s">
        <v>1440</v>
      </c>
      <c r="D708" s="158" t="s">
        <v>1441</v>
      </c>
      <c r="E708" s="171" t="s">
        <v>1381</v>
      </c>
      <c r="F708" s="156">
        <v>44090</v>
      </c>
      <c r="G708" s="156">
        <v>44330</v>
      </c>
      <c r="H708" s="144">
        <v>1300000</v>
      </c>
      <c r="I708" s="144">
        <v>56976.400000000009</v>
      </c>
      <c r="J708" s="144">
        <f t="shared" si="46"/>
        <v>1243023.6000000001</v>
      </c>
      <c r="K708" s="141"/>
      <c r="L708" s="147">
        <f t="shared" si="47"/>
        <v>310755.90000000002</v>
      </c>
      <c r="M708" s="147">
        <f t="shared" si="48"/>
        <v>310755.90000000002</v>
      </c>
      <c r="N708" s="147">
        <f t="shared" si="49"/>
        <v>310755.90000000002</v>
      </c>
      <c r="O708" s="147">
        <f t="shared" si="50"/>
        <v>310755.90000000002</v>
      </c>
      <c r="P708" s="140"/>
    </row>
    <row r="709" spans="1:16" s="31" customFormat="1" ht="29.25" customHeight="1">
      <c r="A709" s="158">
        <v>53</v>
      </c>
      <c r="B709" s="200" t="s">
        <v>36</v>
      </c>
      <c r="C709" s="171" t="s">
        <v>1442</v>
      </c>
      <c r="D709" s="158" t="s">
        <v>1443</v>
      </c>
      <c r="E709" s="171" t="s">
        <v>1381</v>
      </c>
      <c r="F709" s="156">
        <v>44090</v>
      </c>
      <c r="G709" s="156">
        <v>44330</v>
      </c>
      <c r="H709" s="144">
        <v>5300000</v>
      </c>
      <c r="I709" s="144">
        <v>3477801.6999999997</v>
      </c>
      <c r="J709" s="144">
        <f t="shared" si="46"/>
        <v>1822198.3000000003</v>
      </c>
      <c r="K709" s="141"/>
      <c r="L709" s="147">
        <f t="shared" si="47"/>
        <v>455549.57500000007</v>
      </c>
      <c r="M709" s="147">
        <f t="shared" si="48"/>
        <v>455549.57500000007</v>
      </c>
      <c r="N709" s="147">
        <f t="shared" si="49"/>
        <v>455549.57500000007</v>
      </c>
      <c r="O709" s="147">
        <f t="shared" si="50"/>
        <v>455549.57500000007</v>
      </c>
      <c r="P709" s="140"/>
    </row>
    <row r="710" spans="1:16" s="31" customFormat="1" ht="29.25" customHeight="1">
      <c r="A710" s="158">
        <v>54</v>
      </c>
      <c r="B710" s="200" t="s">
        <v>36</v>
      </c>
      <c r="C710" s="171" t="s">
        <v>1444</v>
      </c>
      <c r="D710" s="158" t="s">
        <v>1445</v>
      </c>
      <c r="E710" s="171" t="s">
        <v>1381</v>
      </c>
      <c r="F710" s="156">
        <v>44090</v>
      </c>
      <c r="G710" s="156">
        <v>44260</v>
      </c>
      <c r="H710" s="144">
        <v>4000000</v>
      </c>
      <c r="I710" s="144">
        <v>2443040</v>
      </c>
      <c r="J710" s="144">
        <f t="shared" si="46"/>
        <v>1556960</v>
      </c>
      <c r="K710" s="141"/>
      <c r="L710" s="147">
        <f t="shared" si="47"/>
        <v>389240</v>
      </c>
      <c r="M710" s="147">
        <f t="shared" si="48"/>
        <v>389240</v>
      </c>
      <c r="N710" s="147">
        <f t="shared" si="49"/>
        <v>389240</v>
      </c>
      <c r="O710" s="147">
        <f t="shared" si="50"/>
        <v>389240</v>
      </c>
      <c r="P710" s="140"/>
    </row>
    <row r="711" spans="1:16" s="31" customFormat="1" ht="29.25" customHeight="1">
      <c r="A711" s="200">
        <v>55</v>
      </c>
      <c r="B711" s="200" t="s">
        <v>36</v>
      </c>
      <c r="C711" s="171" t="s">
        <v>1446</v>
      </c>
      <c r="D711" s="158" t="s">
        <v>1445</v>
      </c>
      <c r="E711" s="171" t="s">
        <v>1381</v>
      </c>
      <c r="F711" s="156">
        <v>44090</v>
      </c>
      <c r="G711" s="156">
        <v>44330</v>
      </c>
      <c r="H711" s="144">
        <v>3050000</v>
      </c>
      <c r="I711" s="144">
        <v>219264.5</v>
      </c>
      <c r="J711" s="144">
        <f t="shared" si="46"/>
        <v>2830735.5</v>
      </c>
      <c r="K711" s="141"/>
      <c r="L711" s="147">
        <f t="shared" si="47"/>
        <v>707683.875</v>
      </c>
      <c r="M711" s="147">
        <f t="shared" si="48"/>
        <v>707683.875</v>
      </c>
      <c r="N711" s="147">
        <f t="shared" si="49"/>
        <v>707683.875</v>
      </c>
      <c r="O711" s="147">
        <f t="shared" si="50"/>
        <v>707683.875</v>
      </c>
      <c r="P711" s="140"/>
    </row>
    <row r="712" spans="1:16" s="31" customFormat="1" ht="29.25" customHeight="1">
      <c r="A712" s="158">
        <v>56</v>
      </c>
      <c r="B712" s="200" t="s">
        <v>36</v>
      </c>
      <c r="C712" s="171" t="s">
        <v>1447</v>
      </c>
      <c r="D712" s="158" t="s">
        <v>1448</v>
      </c>
      <c r="E712" s="171" t="s">
        <v>1381</v>
      </c>
      <c r="F712" s="156">
        <v>44090</v>
      </c>
      <c r="G712" s="156">
        <v>44260</v>
      </c>
      <c r="H712" s="144">
        <v>3700000</v>
      </c>
      <c r="I712" s="144">
        <v>2176251.2000000002</v>
      </c>
      <c r="J712" s="144">
        <f t="shared" si="46"/>
        <v>1523748.7999999998</v>
      </c>
      <c r="K712" s="141"/>
      <c r="L712" s="147">
        <f t="shared" si="47"/>
        <v>380937.19999999995</v>
      </c>
      <c r="M712" s="147">
        <f t="shared" si="48"/>
        <v>380937.19999999995</v>
      </c>
      <c r="N712" s="147">
        <f t="shared" si="49"/>
        <v>380937.19999999995</v>
      </c>
      <c r="O712" s="147">
        <f t="shared" si="50"/>
        <v>380937.19999999995</v>
      </c>
      <c r="P712" s="140"/>
    </row>
    <row r="713" spans="1:16" s="31" customFormat="1" ht="29.25" customHeight="1">
      <c r="A713" s="158">
        <v>57</v>
      </c>
      <c r="B713" s="200" t="s">
        <v>36</v>
      </c>
      <c r="C713" s="171" t="s">
        <v>1449</v>
      </c>
      <c r="D713" s="158" t="s">
        <v>1450</v>
      </c>
      <c r="E713" s="171" t="s">
        <v>1381</v>
      </c>
      <c r="F713" s="156">
        <v>44090</v>
      </c>
      <c r="G713" s="156">
        <v>44260</v>
      </c>
      <c r="H713" s="144">
        <v>3270000</v>
      </c>
      <c r="I713" s="144">
        <v>1707110.0400000003</v>
      </c>
      <c r="J713" s="144">
        <f t="shared" si="46"/>
        <v>1562889.9599999997</v>
      </c>
      <c r="K713" s="141"/>
      <c r="L713" s="147">
        <f t="shared" si="47"/>
        <v>390722.48999999993</v>
      </c>
      <c r="M713" s="147">
        <f t="shared" si="48"/>
        <v>390722.48999999993</v>
      </c>
      <c r="N713" s="147">
        <f t="shared" si="49"/>
        <v>390722.48999999993</v>
      </c>
      <c r="O713" s="147">
        <f t="shared" si="50"/>
        <v>390722.48999999993</v>
      </c>
      <c r="P713" s="140"/>
    </row>
    <row r="714" spans="1:16" s="31" customFormat="1" ht="29.25" customHeight="1">
      <c r="A714" s="200">
        <v>58</v>
      </c>
      <c r="B714" s="200" t="s">
        <v>36</v>
      </c>
      <c r="C714" s="171" t="s">
        <v>1451</v>
      </c>
      <c r="D714" s="158" t="s">
        <v>1450</v>
      </c>
      <c r="E714" s="171" t="s">
        <v>1381</v>
      </c>
      <c r="F714" s="156">
        <v>44090</v>
      </c>
      <c r="G714" s="156">
        <v>44260</v>
      </c>
      <c r="H714" s="144">
        <v>2400000</v>
      </c>
      <c r="I714" s="144">
        <v>1273428</v>
      </c>
      <c r="J714" s="144">
        <f t="shared" si="46"/>
        <v>1126572</v>
      </c>
      <c r="K714" s="141"/>
      <c r="L714" s="147">
        <f t="shared" si="47"/>
        <v>281643</v>
      </c>
      <c r="M714" s="147">
        <f t="shared" si="48"/>
        <v>281643</v>
      </c>
      <c r="N714" s="147">
        <f t="shared" si="49"/>
        <v>281643</v>
      </c>
      <c r="O714" s="147">
        <f t="shared" si="50"/>
        <v>281643</v>
      </c>
      <c r="P714" s="140"/>
    </row>
    <row r="715" spans="1:16" s="31" customFormat="1" ht="29.25" customHeight="1">
      <c r="A715" s="158">
        <v>59</v>
      </c>
      <c r="B715" s="200" t="s">
        <v>36</v>
      </c>
      <c r="C715" s="171" t="s">
        <v>1452</v>
      </c>
      <c r="D715" s="158" t="s">
        <v>1453</v>
      </c>
      <c r="E715" s="171" t="s">
        <v>1381</v>
      </c>
      <c r="F715" s="156">
        <v>44090</v>
      </c>
      <c r="G715" s="156">
        <v>44260</v>
      </c>
      <c r="H715" s="144">
        <v>600000</v>
      </c>
      <c r="I715" s="144">
        <v>461022</v>
      </c>
      <c r="J715" s="144">
        <f t="shared" si="46"/>
        <v>138978</v>
      </c>
      <c r="K715" s="141"/>
      <c r="L715" s="147">
        <f t="shared" si="47"/>
        <v>34744.5</v>
      </c>
      <c r="M715" s="147">
        <f t="shared" si="48"/>
        <v>34744.5</v>
      </c>
      <c r="N715" s="147">
        <f t="shared" si="49"/>
        <v>34744.5</v>
      </c>
      <c r="O715" s="147">
        <f t="shared" si="50"/>
        <v>34744.5</v>
      </c>
      <c r="P715" s="140"/>
    </row>
    <row r="716" spans="1:16" s="31" customFormat="1" ht="29.25" customHeight="1">
      <c r="A716" s="158">
        <v>60</v>
      </c>
      <c r="B716" s="200" t="s">
        <v>36</v>
      </c>
      <c r="C716" s="171" t="s">
        <v>1454</v>
      </c>
      <c r="D716" s="158" t="s">
        <v>1453</v>
      </c>
      <c r="E716" s="171" t="s">
        <v>1381</v>
      </c>
      <c r="F716" s="156">
        <v>44090</v>
      </c>
      <c r="G716" s="156">
        <v>44260</v>
      </c>
      <c r="H716" s="144">
        <v>1800000</v>
      </c>
      <c r="I716" s="144">
        <v>550976.4</v>
      </c>
      <c r="J716" s="144">
        <f t="shared" si="46"/>
        <v>1249023.6000000001</v>
      </c>
      <c r="K716" s="141"/>
      <c r="L716" s="147">
        <f t="shared" si="47"/>
        <v>312255.90000000002</v>
      </c>
      <c r="M716" s="147">
        <f t="shared" si="48"/>
        <v>312255.90000000002</v>
      </c>
      <c r="N716" s="147">
        <f t="shared" si="49"/>
        <v>312255.90000000002</v>
      </c>
      <c r="O716" s="147">
        <f t="shared" si="50"/>
        <v>312255.90000000002</v>
      </c>
      <c r="P716" s="140"/>
    </row>
    <row r="717" spans="1:16" s="31" customFormat="1" ht="29.25" customHeight="1">
      <c r="A717" s="200">
        <v>61</v>
      </c>
      <c r="B717" s="200" t="s">
        <v>36</v>
      </c>
      <c r="C717" s="171" t="s">
        <v>1455</v>
      </c>
      <c r="D717" s="158" t="s">
        <v>1453</v>
      </c>
      <c r="E717" s="171" t="s">
        <v>1381</v>
      </c>
      <c r="F717" s="156">
        <v>44090</v>
      </c>
      <c r="G717" s="156">
        <v>44260</v>
      </c>
      <c r="H717" s="144">
        <v>1000000</v>
      </c>
      <c r="I717" s="144">
        <v>258824</v>
      </c>
      <c r="J717" s="144">
        <f t="shared" si="46"/>
        <v>741176</v>
      </c>
      <c r="K717" s="141"/>
      <c r="L717" s="147">
        <f t="shared" si="47"/>
        <v>185294</v>
      </c>
      <c r="M717" s="147">
        <f t="shared" si="48"/>
        <v>185294</v>
      </c>
      <c r="N717" s="147">
        <f t="shared" si="49"/>
        <v>185294</v>
      </c>
      <c r="O717" s="147">
        <f t="shared" si="50"/>
        <v>185294</v>
      </c>
      <c r="P717" s="140"/>
    </row>
    <row r="718" spans="1:16" s="31" customFormat="1" ht="29.25" customHeight="1">
      <c r="A718" s="158">
        <v>62</v>
      </c>
      <c r="B718" s="200" t="s">
        <v>36</v>
      </c>
      <c r="C718" s="171" t="s">
        <v>1456</v>
      </c>
      <c r="D718" s="158" t="s">
        <v>1132</v>
      </c>
      <c r="E718" s="171" t="s">
        <v>1381</v>
      </c>
      <c r="F718" s="156">
        <v>44090</v>
      </c>
      <c r="G718" s="156">
        <v>44260</v>
      </c>
      <c r="H718" s="144">
        <v>2800000</v>
      </c>
      <c r="I718" s="144">
        <v>1610025.2</v>
      </c>
      <c r="J718" s="144">
        <f t="shared" si="46"/>
        <v>1189974.8</v>
      </c>
      <c r="K718" s="141"/>
      <c r="L718" s="147">
        <f t="shared" si="47"/>
        <v>297493.7</v>
      </c>
      <c r="M718" s="147">
        <f t="shared" si="48"/>
        <v>297493.7</v>
      </c>
      <c r="N718" s="147">
        <f t="shared" si="49"/>
        <v>297493.7</v>
      </c>
      <c r="O718" s="147">
        <f t="shared" si="50"/>
        <v>297493.7</v>
      </c>
      <c r="P718" s="140"/>
    </row>
    <row r="719" spans="1:16" s="31" customFormat="1" ht="29.25" customHeight="1">
      <c r="A719" s="158">
        <v>63</v>
      </c>
      <c r="B719" s="200" t="s">
        <v>36</v>
      </c>
      <c r="C719" s="171" t="s">
        <v>1457</v>
      </c>
      <c r="D719" s="158" t="s">
        <v>1407</v>
      </c>
      <c r="E719" s="171" t="s">
        <v>1381</v>
      </c>
      <c r="F719" s="156">
        <v>44141</v>
      </c>
      <c r="G719" s="156">
        <v>44381</v>
      </c>
      <c r="H719" s="144">
        <v>2738000</v>
      </c>
      <c r="I719" s="144">
        <v>246419.99999999994</v>
      </c>
      <c r="J719" s="144">
        <f t="shared" si="46"/>
        <v>2491580</v>
      </c>
      <c r="K719" s="141"/>
      <c r="L719" s="147">
        <f t="shared" si="47"/>
        <v>622895</v>
      </c>
      <c r="M719" s="147">
        <f t="shared" si="48"/>
        <v>622895</v>
      </c>
      <c r="N719" s="147">
        <f t="shared" si="49"/>
        <v>622895</v>
      </c>
      <c r="O719" s="147">
        <f t="shared" si="50"/>
        <v>622895</v>
      </c>
      <c r="P719" s="140"/>
    </row>
    <row r="720" spans="1:16" s="31" customFormat="1" ht="29.25" customHeight="1">
      <c r="A720" s="200">
        <v>64</v>
      </c>
      <c r="B720" s="200" t="s">
        <v>36</v>
      </c>
      <c r="C720" s="171" t="s">
        <v>1458</v>
      </c>
      <c r="D720" s="158" t="s">
        <v>403</v>
      </c>
      <c r="E720" s="171" t="s">
        <v>1381</v>
      </c>
      <c r="F720" s="156">
        <v>44141</v>
      </c>
      <c r="G720" s="156">
        <v>44381</v>
      </c>
      <c r="H720" s="144">
        <v>1326000</v>
      </c>
      <c r="I720" s="144">
        <v>485296.10999999993</v>
      </c>
      <c r="J720" s="144">
        <f t="shared" si="46"/>
        <v>840703.89000000013</v>
      </c>
      <c r="K720" s="141"/>
      <c r="L720" s="147">
        <f t="shared" si="47"/>
        <v>210175.97250000003</v>
      </c>
      <c r="M720" s="147">
        <f t="shared" si="48"/>
        <v>210175.97250000003</v>
      </c>
      <c r="N720" s="147">
        <f t="shared" si="49"/>
        <v>210175.97250000003</v>
      </c>
      <c r="O720" s="147">
        <f t="shared" si="50"/>
        <v>210175.97250000003</v>
      </c>
      <c r="P720" s="140"/>
    </row>
    <row r="721" spans="1:16" s="31" customFormat="1" ht="29.25" customHeight="1">
      <c r="A721" s="158">
        <v>65</v>
      </c>
      <c r="B721" s="200" t="s">
        <v>36</v>
      </c>
      <c r="C721" s="171" t="s">
        <v>1459</v>
      </c>
      <c r="D721" s="158" t="s">
        <v>1460</v>
      </c>
      <c r="E721" s="171" t="s">
        <v>1381</v>
      </c>
      <c r="F721" s="156">
        <v>44141</v>
      </c>
      <c r="G721" s="156">
        <v>44381</v>
      </c>
      <c r="H721" s="144">
        <v>1987000</v>
      </c>
      <c r="I721" s="144">
        <v>1008998.6000000001</v>
      </c>
      <c r="J721" s="144">
        <f t="shared" ref="J721:J752" si="51">H721-I721</f>
        <v>978001.39999999991</v>
      </c>
      <c r="K721" s="141"/>
      <c r="L721" s="147">
        <f t="shared" ref="L721:L752" si="52">J721*0.25</f>
        <v>244500.34999999998</v>
      </c>
      <c r="M721" s="147">
        <f t="shared" ref="M721:M752" si="53">J721*0.25</f>
        <v>244500.34999999998</v>
      </c>
      <c r="N721" s="147">
        <f t="shared" ref="N721:N752" si="54">J721*0.25</f>
        <v>244500.34999999998</v>
      </c>
      <c r="O721" s="147">
        <f t="shared" ref="O721:O752" si="55">J721*0.25</f>
        <v>244500.34999999998</v>
      </c>
      <c r="P721" s="140"/>
    </row>
    <row r="722" spans="1:16" s="31" customFormat="1" ht="29.25" customHeight="1">
      <c r="A722" s="158">
        <v>66</v>
      </c>
      <c r="B722" s="200" t="s">
        <v>36</v>
      </c>
      <c r="C722" s="171" t="s">
        <v>1461</v>
      </c>
      <c r="D722" s="158" t="s">
        <v>1460</v>
      </c>
      <c r="E722" s="171" t="s">
        <v>1381</v>
      </c>
      <c r="F722" s="156">
        <v>44141</v>
      </c>
      <c r="G722" s="156">
        <v>44381</v>
      </c>
      <c r="H722" s="144">
        <v>2936000</v>
      </c>
      <c r="I722" s="144">
        <v>1198572.088</v>
      </c>
      <c r="J722" s="144">
        <f t="shared" si="51"/>
        <v>1737427.912</v>
      </c>
      <c r="K722" s="141"/>
      <c r="L722" s="147">
        <f t="shared" si="52"/>
        <v>434356.978</v>
      </c>
      <c r="M722" s="147">
        <f t="shared" si="53"/>
        <v>434356.978</v>
      </c>
      <c r="N722" s="147">
        <f t="shared" si="54"/>
        <v>434356.978</v>
      </c>
      <c r="O722" s="147">
        <f t="shared" si="55"/>
        <v>434356.978</v>
      </c>
      <c r="P722" s="140"/>
    </row>
    <row r="723" spans="1:16" s="31" customFormat="1" ht="29.25" customHeight="1">
      <c r="A723" s="200">
        <v>67</v>
      </c>
      <c r="B723" s="200" t="s">
        <v>36</v>
      </c>
      <c r="C723" s="171" t="s">
        <v>1462</v>
      </c>
      <c r="D723" s="158" t="s">
        <v>197</v>
      </c>
      <c r="E723" s="171" t="s">
        <v>1381</v>
      </c>
      <c r="F723" s="156">
        <v>44141</v>
      </c>
      <c r="G723" s="156">
        <v>44311</v>
      </c>
      <c r="H723" s="144">
        <v>2450000</v>
      </c>
      <c r="I723" s="144">
        <v>524741</v>
      </c>
      <c r="J723" s="144">
        <f t="shared" si="51"/>
        <v>1925259</v>
      </c>
      <c r="K723" s="141"/>
      <c r="L723" s="147">
        <f t="shared" si="52"/>
        <v>481314.75</v>
      </c>
      <c r="M723" s="147">
        <f t="shared" si="53"/>
        <v>481314.75</v>
      </c>
      <c r="N723" s="147">
        <f t="shared" si="54"/>
        <v>481314.75</v>
      </c>
      <c r="O723" s="147">
        <f t="shared" si="55"/>
        <v>481314.75</v>
      </c>
      <c r="P723" s="140"/>
    </row>
    <row r="724" spans="1:16" s="31" customFormat="1" ht="29.25" customHeight="1">
      <c r="A724" s="158">
        <v>68</v>
      </c>
      <c r="B724" s="200" t="s">
        <v>36</v>
      </c>
      <c r="C724" s="171" t="s">
        <v>1463</v>
      </c>
      <c r="D724" s="158" t="s">
        <v>1443</v>
      </c>
      <c r="E724" s="171" t="s">
        <v>1381</v>
      </c>
      <c r="F724" s="156">
        <v>44141</v>
      </c>
      <c r="G724" s="156">
        <v>44311</v>
      </c>
      <c r="H724" s="144">
        <v>2600000</v>
      </c>
      <c r="I724" s="144">
        <v>1185431</v>
      </c>
      <c r="J724" s="144">
        <f t="shared" si="51"/>
        <v>1414569</v>
      </c>
      <c r="K724" s="141"/>
      <c r="L724" s="147">
        <f t="shared" si="52"/>
        <v>353642.25</v>
      </c>
      <c r="M724" s="147">
        <f t="shared" si="53"/>
        <v>353642.25</v>
      </c>
      <c r="N724" s="147">
        <f t="shared" si="54"/>
        <v>353642.25</v>
      </c>
      <c r="O724" s="147">
        <f t="shared" si="55"/>
        <v>353642.25</v>
      </c>
      <c r="P724" s="140"/>
    </row>
    <row r="725" spans="1:16" s="31" customFormat="1" ht="29.25" customHeight="1">
      <c r="A725" s="158">
        <v>69</v>
      </c>
      <c r="B725" s="200" t="s">
        <v>36</v>
      </c>
      <c r="C725" s="171" t="s">
        <v>1464</v>
      </c>
      <c r="D725" s="158" t="s">
        <v>1465</v>
      </c>
      <c r="E725" s="171" t="s">
        <v>1381</v>
      </c>
      <c r="F725" s="156">
        <v>44141</v>
      </c>
      <c r="G725" s="156">
        <v>44311</v>
      </c>
      <c r="H725" s="144">
        <v>3500000</v>
      </c>
      <c r="I725" s="144">
        <v>1482110</v>
      </c>
      <c r="J725" s="144">
        <f t="shared" si="51"/>
        <v>2017890</v>
      </c>
      <c r="K725" s="141"/>
      <c r="L725" s="147">
        <f t="shared" si="52"/>
        <v>504472.5</v>
      </c>
      <c r="M725" s="147">
        <f t="shared" si="53"/>
        <v>504472.5</v>
      </c>
      <c r="N725" s="147">
        <f t="shared" si="54"/>
        <v>504472.5</v>
      </c>
      <c r="O725" s="147">
        <f t="shared" si="55"/>
        <v>504472.5</v>
      </c>
      <c r="P725" s="140"/>
    </row>
    <row r="726" spans="1:16" s="31" customFormat="1" ht="29.25" customHeight="1">
      <c r="A726" s="200">
        <v>70</v>
      </c>
      <c r="B726" s="200" t="s">
        <v>36</v>
      </c>
      <c r="C726" s="171" t="s">
        <v>1466</v>
      </c>
      <c r="D726" s="158" t="s">
        <v>1467</v>
      </c>
      <c r="E726" s="171" t="s">
        <v>1381</v>
      </c>
      <c r="F726" s="156">
        <v>44141</v>
      </c>
      <c r="G726" s="156">
        <v>44311</v>
      </c>
      <c r="H726" s="144">
        <v>2150000</v>
      </c>
      <c r="I726" s="144">
        <v>1322712.25</v>
      </c>
      <c r="J726" s="144">
        <f t="shared" si="51"/>
        <v>827287.75</v>
      </c>
      <c r="K726" s="141"/>
      <c r="L726" s="147">
        <f t="shared" si="52"/>
        <v>206821.9375</v>
      </c>
      <c r="M726" s="147">
        <f t="shared" si="53"/>
        <v>206821.9375</v>
      </c>
      <c r="N726" s="147">
        <f t="shared" si="54"/>
        <v>206821.9375</v>
      </c>
      <c r="O726" s="147">
        <f t="shared" si="55"/>
        <v>206821.9375</v>
      </c>
      <c r="P726" s="140"/>
    </row>
    <row r="727" spans="1:16" s="31" customFormat="1" ht="31.5">
      <c r="A727" s="158">
        <v>71</v>
      </c>
      <c r="B727" s="200" t="s">
        <v>36</v>
      </c>
      <c r="C727" s="171" t="s">
        <v>1468</v>
      </c>
      <c r="D727" s="158" t="s">
        <v>1197</v>
      </c>
      <c r="E727" s="171" t="s">
        <v>1469</v>
      </c>
      <c r="F727" s="156">
        <v>43115</v>
      </c>
      <c r="G727" s="156">
        <v>43934</v>
      </c>
      <c r="H727" s="144">
        <v>21747000</v>
      </c>
      <c r="I727" s="144">
        <v>0</v>
      </c>
      <c r="J727" s="144">
        <f t="shared" si="51"/>
        <v>21747000</v>
      </c>
      <c r="K727" s="141"/>
      <c r="L727" s="147">
        <f t="shared" si="52"/>
        <v>5436750</v>
      </c>
      <c r="M727" s="147">
        <f t="shared" si="53"/>
        <v>5436750</v>
      </c>
      <c r="N727" s="147">
        <f t="shared" si="54"/>
        <v>5436750</v>
      </c>
      <c r="O727" s="147">
        <f t="shared" si="55"/>
        <v>5436750</v>
      </c>
      <c r="P727" s="140"/>
    </row>
    <row r="728" spans="1:16" s="31" customFormat="1" ht="31.5">
      <c r="A728" s="158">
        <v>72</v>
      </c>
      <c r="B728" s="200" t="s">
        <v>36</v>
      </c>
      <c r="C728" s="171" t="s">
        <v>1470</v>
      </c>
      <c r="D728" s="158" t="s">
        <v>1191</v>
      </c>
      <c r="E728" s="171" t="s">
        <v>1469</v>
      </c>
      <c r="F728" s="156">
        <v>43480</v>
      </c>
      <c r="G728" s="156">
        <v>44020</v>
      </c>
      <c r="H728" s="144">
        <v>41228000</v>
      </c>
      <c r="I728" s="144">
        <v>3640432.3999999985</v>
      </c>
      <c r="J728" s="144">
        <f t="shared" si="51"/>
        <v>37587567.600000001</v>
      </c>
      <c r="K728" s="141"/>
      <c r="L728" s="147">
        <f t="shared" si="52"/>
        <v>9396891.9000000004</v>
      </c>
      <c r="M728" s="147">
        <f t="shared" si="53"/>
        <v>9396891.9000000004</v>
      </c>
      <c r="N728" s="147">
        <f t="shared" si="54"/>
        <v>9396891.9000000004</v>
      </c>
      <c r="O728" s="147">
        <f t="shared" si="55"/>
        <v>9396891.9000000004</v>
      </c>
      <c r="P728" s="140"/>
    </row>
    <row r="729" spans="1:16" s="31" customFormat="1" ht="31.5">
      <c r="A729" s="200">
        <v>73</v>
      </c>
      <c r="B729" s="200" t="s">
        <v>36</v>
      </c>
      <c r="C729" s="171" t="s">
        <v>1471</v>
      </c>
      <c r="D729" s="158" t="s">
        <v>1472</v>
      </c>
      <c r="E729" s="171" t="s">
        <v>1469</v>
      </c>
      <c r="F729" s="156">
        <v>43479</v>
      </c>
      <c r="G729" s="156">
        <v>43899</v>
      </c>
      <c r="H729" s="144">
        <v>9260000</v>
      </c>
      <c r="I729" s="144">
        <v>0</v>
      </c>
      <c r="J729" s="144">
        <f t="shared" si="51"/>
        <v>9260000</v>
      </c>
      <c r="K729" s="141"/>
      <c r="L729" s="147">
        <f t="shared" si="52"/>
        <v>2315000</v>
      </c>
      <c r="M729" s="147">
        <f t="shared" si="53"/>
        <v>2315000</v>
      </c>
      <c r="N729" s="147">
        <f t="shared" si="54"/>
        <v>2315000</v>
      </c>
      <c r="O729" s="147">
        <f t="shared" si="55"/>
        <v>2315000</v>
      </c>
      <c r="P729" s="140"/>
    </row>
    <row r="730" spans="1:16" s="31" customFormat="1" ht="31.5">
      <c r="A730" s="158">
        <v>74</v>
      </c>
      <c r="B730" s="200" t="s">
        <v>36</v>
      </c>
      <c r="C730" s="171" t="s">
        <v>1473</v>
      </c>
      <c r="D730" s="158" t="s">
        <v>406</v>
      </c>
      <c r="E730" s="171" t="s">
        <v>1469</v>
      </c>
      <c r="F730" s="156">
        <v>43479</v>
      </c>
      <c r="G730" s="156">
        <v>43899</v>
      </c>
      <c r="H730" s="144">
        <v>10760000</v>
      </c>
      <c r="I730" s="144">
        <v>0</v>
      </c>
      <c r="J730" s="144">
        <f t="shared" si="51"/>
        <v>10760000</v>
      </c>
      <c r="K730" s="141"/>
      <c r="L730" s="147">
        <f t="shared" si="52"/>
        <v>2690000</v>
      </c>
      <c r="M730" s="147">
        <f t="shared" si="53"/>
        <v>2690000</v>
      </c>
      <c r="N730" s="147">
        <f t="shared" si="54"/>
        <v>2690000</v>
      </c>
      <c r="O730" s="147">
        <f t="shared" si="55"/>
        <v>2690000</v>
      </c>
      <c r="P730" s="140"/>
    </row>
    <row r="731" spans="1:16" s="31" customFormat="1" ht="31.5">
      <c r="A731" s="158">
        <v>75</v>
      </c>
      <c r="B731" s="200" t="s">
        <v>36</v>
      </c>
      <c r="C731" s="171" t="s">
        <v>1474</v>
      </c>
      <c r="D731" s="158" t="s">
        <v>1453</v>
      </c>
      <c r="E731" s="171" t="s">
        <v>1469</v>
      </c>
      <c r="F731" s="156">
        <v>43479</v>
      </c>
      <c r="G731" s="156">
        <v>43959</v>
      </c>
      <c r="H731" s="144">
        <v>27730000</v>
      </c>
      <c r="I731" s="144">
        <v>3671372.2299999967</v>
      </c>
      <c r="J731" s="144">
        <f t="shared" si="51"/>
        <v>24058627.770000003</v>
      </c>
      <c r="K731" s="141"/>
      <c r="L731" s="147">
        <f t="shared" si="52"/>
        <v>6014656.9425000008</v>
      </c>
      <c r="M731" s="147">
        <f t="shared" si="53"/>
        <v>6014656.9425000008</v>
      </c>
      <c r="N731" s="147">
        <f t="shared" si="54"/>
        <v>6014656.9425000008</v>
      </c>
      <c r="O731" s="147">
        <f t="shared" si="55"/>
        <v>6014656.9425000008</v>
      </c>
      <c r="P731" s="140"/>
    </row>
    <row r="732" spans="1:16" s="31" customFormat="1" ht="31.5">
      <c r="A732" s="200">
        <v>76</v>
      </c>
      <c r="B732" s="200" t="s">
        <v>36</v>
      </c>
      <c r="C732" s="171" t="s">
        <v>1475</v>
      </c>
      <c r="D732" s="158" t="s">
        <v>1122</v>
      </c>
      <c r="E732" s="171" t="s">
        <v>1469</v>
      </c>
      <c r="F732" s="156">
        <v>43479</v>
      </c>
      <c r="G732" s="156">
        <v>43959</v>
      </c>
      <c r="H732" s="144">
        <v>19270000</v>
      </c>
      <c r="I732" s="144">
        <v>1526733.4800000004</v>
      </c>
      <c r="J732" s="144">
        <f t="shared" si="51"/>
        <v>17743266.52</v>
      </c>
      <c r="K732" s="141"/>
      <c r="L732" s="147">
        <f t="shared" si="52"/>
        <v>4435816.63</v>
      </c>
      <c r="M732" s="147">
        <f t="shared" si="53"/>
        <v>4435816.63</v>
      </c>
      <c r="N732" s="147">
        <f t="shared" si="54"/>
        <v>4435816.63</v>
      </c>
      <c r="O732" s="147">
        <f t="shared" si="55"/>
        <v>4435816.63</v>
      </c>
      <c r="P732" s="140"/>
    </row>
    <row r="733" spans="1:16" s="31" customFormat="1" ht="31.5">
      <c r="A733" s="158">
        <v>77</v>
      </c>
      <c r="B733" s="200" t="s">
        <v>36</v>
      </c>
      <c r="C733" s="171" t="s">
        <v>1476</v>
      </c>
      <c r="D733" s="158" t="s">
        <v>1448</v>
      </c>
      <c r="E733" s="171" t="s">
        <v>1469</v>
      </c>
      <c r="F733" s="156">
        <v>43479</v>
      </c>
      <c r="G733" s="156">
        <v>43959</v>
      </c>
      <c r="H733" s="144">
        <v>19910000</v>
      </c>
      <c r="I733" s="144">
        <v>1919092.2599999998</v>
      </c>
      <c r="J733" s="144">
        <f t="shared" si="51"/>
        <v>17990907.740000002</v>
      </c>
      <c r="K733" s="141"/>
      <c r="L733" s="147">
        <f t="shared" si="52"/>
        <v>4497726.9350000005</v>
      </c>
      <c r="M733" s="147">
        <f t="shared" si="53"/>
        <v>4497726.9350000005</v>
      </c>
      <c r="N733" s="147">
        <f t="shared" si="54"/>
        <v>4497726.9350000005</v>
      </c>
      <c r="O733" s="147">
        <f t="shared" si="55"/>
        <v>4497726.9350000005</v>
      </c>
      <c r="P733" s="140"/>
    </row>
    <row r="734" spans="1:16" s="31" customFormat="1" ht="31.5">
      <c r="A734" s="158">
        <v>78</v>
      </c>
      <c r="B734" s="200" t="s">
        <v>36</v>
      </c>
      <c r="C734" s="171" t="s">
        <v>1477</v>
      </c>
      <c r="D734" s="158" t="s">
        <v>716</v>
      </c>
      <c r="E734" s="171" t="s">
        <v>1469</v>
      </c>
      <c r="F734" s="156">
        <v>43479</v>
      </c>
      <c r="G734" s="156">
        <v>43959</v>
      </c>
      <c r="H734" s="144">
        <v>15500000</v>
      </c>
      <c r="I734" s="144">
        <v>1111184.2400000002</v>
      </c>
      <c r="J734" s="144">
        <f t="shared" si="51"/>
        <v>14388815.76</v>
      </c>
      <c r="K734" s="141"/>
      <c r="L734" s="147">
        <f t="shared" si="52"/>
        <v>3597203.94</v>
      </c>
      <c r="M734" s="147">
        <f t="shared" si="53"/>
        <v>3597203.94</v>
      </c>
      <c r="N734" s="147">
        <f t="shared" si="54"/>
        <v>3597203.94</v>
      </c>
      <c r="O734" s="147">
        <f t="shared" si="55"/>
        <v>3597203.94</v>
      </c>
      <c r="P734" s="140"/>
    </row>
    <row r="735" spans="1:16" s="31" customFormat="1" ht="31.5">
      <c r="A735" s="200">
        <v>79</v>
      </c>
      <c r="B735" s="200" t="s">
        <v>36</v>
      </c>
      <c r="C735" s="171" t="s">
        <v>1478</v>
      </c>
      <c r="D735" s="158" t="s">
        <v>403</v>
      </c>
      <c r="E735" s="171" t="s">
        <v>1469</v>
      </c>
      <c r="F735" s="156">
        <v>43510</v>
      </c>
      <c r="G735" s="156">
        <v>43930</v>
      </c>
      <c r="H735" s="144">
        <v>11528172.720000001</v>
      </c>
      <c r="I735" s="144">
        <v>3214054.5600000005</v>
      </c>
      <c r="J735" s="144">
        <f t="shared" si="51"/>
        <v>8314118.1600000001</v>
      </c>
      <c r="K735" s="141"/>
      <c r="L735" s="147">
        <f t="shared" si="52"/>
        <v>2078529.54</v>
      </c>
      <c r="M735" s="147">
        <f t="shared" si="53"/>
        <v>2078529.54</v>
      </c>
      <c r="N735" s="147">
        <f t="shared" si="54"/>
        <v>2078529.54</v>
      </c>
      <c r="O735" s="147">
        <f t="shared" si="55"/>
        <v>2078529.54</v>
      </c>
      <c r="P735" s="140"/>
    </row>
    <row r="736" spans="1:16" s="31" customFormat="1" ht="31.5">
      <c r="A736" s="158">
        <v>80</v>
      </c>
      <c r="B736" s="200" t="s">
        <v>36</v>
      </c>
      <c r="C736" s="171" t="s">
        <v>1479</v>
      </c>
      <c r="D736" s="158" t="s">
        <v>1132</v>
      </c>
      <c r="E736" s="171" t="s">
        <v>1469</v>
      </c>
      <c r="F736" s="156">
        <v>43558</v>
      </c>
      <c r="G736" s="156">
        <v>43918</v>
      </c>
      <c r="H736" s="144">
        <v>7917000</v>
      </c>
      <c r="I736" s="144">
        <v>0</v>
      </c>
      <c r="J736" s="144">
        <f t="shared" si="51"/>
        <v>7917000</v>
      </c>
      <c r="K736" s="141"/>
      <c r="L736" s="147">
        <f t="shared" si="52"/>
        <v>1979250</v>
      </c>
      <c r="M736" s="147">
        <f t="shared" si="53"/>
        <v>1979250</v>
      </c>
      <c r="N736" s="147">
        <f t="shared" si="54"/>
        <v>1979250</v>
      </c>
      <c r="O736" s="147">
        <f t="shared" si="55"/>
        <v>1979250</v>
      </c>
      <c r="P736" s="140"/>
    </row>
    <row r="737" spans="1:16" s="31" customFormat="1" ht="31.5">
      <c r="A737" s="158">
        <v>81</v>
      </c>
      <c r="B737" s="200" t="s">
        <v>36</v>
      </c>
      <c r="C737" s="171" t="s">
        <v>1480</v>
      </c>
      <c r="D737" s="158" t="s">
        <v>1453</v>
      </c>
      <c r="E737" s="171" t="s">
        <v>1469</v>
      </c>
      <c r="F737" s="156">
        <v>43558</v>
      </c>
      <c r="G737" s="156">
        <v>43552</v>
      </c>
      <c r="H737" s="144">
        <v>17000000</v>
      </c>
      <c r="I737" s="144">
        <v>0</v>
      </c>
      <c r="J737" s="144">
        <f t="shared" si="51"/>
        <v>17000000</v>
      </c>
      <c r="K737" s="141"/>
      <c r="L737" s="147">
        <f t="shared" si="52"/>
        <v>4250000</v>
      </c>
      <c r="M737" s="147">
        <f t="shared" si="53"/>
        <v>4250000</v>
      </c>
      <c r="N737" s="147">
        <f t="shared" si="54"/>
        <v>4250000</v>
      </c>
      <c r="O737" s="147">
        <f t="shared" si="55"/>
        <v>4250000</v>
      </c>
      <c r="P737" s="140"/>
    </row>
    <row r="738" spans="1:16" s="31" customFormat="1" ht="31.5">
      <c r="A738" s="200">
        <v>82</v>
      </c>
      <c r="B738" s="200" t="s">
        <v>36</v>
      </c>
      <c r="C738" s="171" t="s">
        <v>1481</v>
      </c>
      <c r="D738" s="158" t="s">
        <v>1482</v>
      </c>
      <c r="E738" s="171" t="s">
        <v>1469</v>
      </c>
      <c r="F738" s="156">
        <v>43664</v>
      </c>
      <c r="G738" s="156">
        <v>44114</v>
      </c>
      <c r="H738" s="144">
        <v>12873860</v>
      </c>
      <c r="I738" s="144">
        <v>0</v>
      </c>
      <c r="J738" s="144">
        <f t="shared" si="51"/>
        <v>12873860</v>
      </c>
      <c r="K738" s="141"/>
      <c r="L738" s="147">
        <f t="shared" si="52"/>
        <v>3218465</v>
      </c>
      <c r="M738" s="147">
        <f t="shared" si="53"/>
        <v>3218465</v>
      </c>
      <c r="N738" s="147">
        <f t="shared" si="54"/>
        <v>3218465</v>
      </c>
      <c r="O738" s="147">
        <f t="shared" si="55"/>
        <v>3218465</v>
      </c>
      <c r="P738" s="140"/>
    </row>
    <row r="739" spans="1:16" s="31" customFormat="1" ht="31.5">
      <c r="A739" s="158">
        <v>83</v>
      </c>
      <c r="B739" s="200" t="s">
        <v>36</v>
      </c>
      <c r="C739" s="171" t="s">
        <v>1483</v>
      </c>
      <c r="D739" s="158" t="s">
        <v>1484</v>
      </c>
      <c r="E739" s="171" t="s">
        <v>1469</v>
      </c>
      <c r="F739" s="156">
        <v>43664</v>
      </c>
      <c r="G739" s="156">
        <v>44114</v>
      </c>
      <c r="H739" s="144">
        <v>14033140</v>
      </c>
      <c r="I739" s="144">
        <v>0</v>
      </c>
      <c r="J739" s="144">
        <f t="shared" si="51"/>
        <v>14033140</v>
      </c>
      <c r="K739" s="141"/>
      <c r="L739" s="147">
        <f t="shared" si="52"/>
        <v>3508285</v>
      </c>
      <c r="M739" s="147">
        <f t="shared" si="53"/>
        <v>3508285</v>
      </c>
      <c r="N739" s="147">
        <f t="shared" si="54"/>
        <v>3508285</v>
      </c>
      <c r="O739" s="147">
        <f t="shared" si="55"/>
        <v>3508285</v>
      </c>
      <c r="P739" s="140"/>
    </row>
    <row r="740" spans="1:16" s="31" customFormat="1" ht="31.5">
      <c r="A740" s="158">
        <v>84</v>
      </c>
      <c r="B740" s="200" t="s">
        <v>36</v>
      </c>
      <c r="C740" s="171" t="s">
        <v>1485</v>
      </c>
      <c r="D740" s="158" t="s">
        <v>196</v>
      </c>
      <c r="E740" s="171" t="s">
        <v>1469</v>
      </c>
      <c r="F740" s="156">
        <v>43671</v>
      </c>
      <c r="G740" s="156">
        <v>44091</v>
      </c>
      <c r="H740" s="144">
        <v>12000000</v>
      </c>
      <c r="I740" s="144">
        <v>1282800</v>
      </c>
      <c r="J740" s="144">
        <f t="shared" si="51"/>
        <v>10717200</v>
      </c>
      <c r="K740" s="141"/>
      <c r="L740" s="147">
        <f t="shared" si="52"/>
        <v>2679300</v>
      </c>
      <c r="M740" s="147">
        <f t="shared" si="53"/>
        <v>2679300</v>
      </c>
      <c r="N740" s="147">
        <f t="shared" si="54"/>
        <v>2679300</v>
      </c>
      <c r="O740" s="147">
        <f t="shared" si="55"/>
        <v>2679300</v>
      </c>
      <c r="P740" s="140"/>
    </row>
    <row r="741" spans="1:16" s="31" customFormat="1" ht="31.5">
      <c r="A741" s="200">
        <v>85</v>
      </c>
      <c r="B741" s="200" t="s">
        <v>36</v>
      </c>
      <c r="C741" s="171" t="s">
        <v>951</v>
      </c>
      <c r="D741" s="158" t="s">
        <v>1484</v>
      </c>
      <c r="E741" s="171" t="s">
        <v>1469</v>
      </c>
      <c r="F741" s="156">
        <v>43671</v>
      </c>
      <c r="G741" s="156">
        <v>44091</v>
      </c>
      <c r="H741" s="144">
        <v>11990000</v>
      </c>
      <c r="I741" s="144">
        <v>1939982</v>
      </c>
      <c r="J741" s="144">
        <f t="shared" si="51"/>
        <v>10050018</v>
      </c>
      <c r="K741" s="141"/>
      <c r="L741" s="147">
        <f t="shared" si="52"/>
        <v>2512504.5</v>
      </c>
      <c r="M741" s="147">
        <f t="shared" si="53"/>
        <v>2512504.5</v>
      </c>
      <c r="N741" s="147">
        <f t="shared" si="54"/>
        <v>2512504.5</v>
      </c>
      <c r="O741" s="147">
        <f t="shared" si="55"/>
        <v>2512504.5</v>
      </c>
      <c r="P741" s="140"/>
    </row>
    <row r="742" spans="1:16" s="31" customFormat="1" ht="31.5">
      <c r="A742" s="158">
        <v>86</v>
      </c>
      <c r="B742" s="200" t="s">
        <v>36</v>
      </c>
      <c r="C742" s="171" t="s">
        <v>1486</v>
      </c>
      <c r="D742" s="158" t="s">
        <v>1487</v>
      </c>
      <c r="E742" s="171" t="s">
        <v>1469</v>
      </c>
      <c r="F742" s="156">
        <v>43780</v>
      </c>
      <c r="G742" s="156">
        <v>44290</v>
      </c>
      <c r="H742" s="144">
        <v>37350000</v>
      </c>
      <c r="I742" s="144">
        <v>7421445</v>
      </c>
      <c r="J742" s="144">
        <f t="shared" si="51"/>
        <v>29928555</v>
      </c>
      <c r="K742" s="141"/>
      <c r="L742" s="147">
        <f t="shared" si="52"/>
        <v>7482138.75</v>
      </c>
      <c r="M742" s="147">
        <f t="shared" si="53"/>
        <v>7482138.75</v>
      </c>
      <c r="N742" s="147">
        <f t="shared" si="54"/>
        <v>7482138.75</v>
      </c>
      <c r="O742" s="147">
        <f t="shared" si="55"/>
        <v>7482138.75</v>
      </c>
      <c r="P742" s="140"/>
    </row>
    <row r="743" spans="1:16" s="31" customFormat="1" ht="31.5">
      <c r="A743" s="158">
        <v>87</v>
      </c>
      <c r="B743" s="200" t="s">
        <v>36</v>
      </c>
      <c r="C743" s="171" t="s">
        <v>1488</v>
      </c>
      <c r="D743" s="158" t="s">
        <v>683</v>
      </c>
      <c r="E743" s="171" t="s">
        <v>1489</v>
      </c>
      <c r="F743" s="156">
        <v>43783</v>
      </c>
      <c r="G743" s="156">
        <v>44143</v>
      </c>
      <c r="H743" s="144">
        <v>17727000</v>
      </c>
      <c r="I743" s="144">
        <v>1815244.8000000007</v>
      </c>
      <c r="J743" s="144">
        <f t="shared" si="51"/>
        <v>15911755.199999999</v>
      </c>
      <c r="K743" s="141"/>
      <c r="L743" s="147">
        <f t="shared" si="52"/>
        <v>3977938.8</v>
      </c>
      <c r="M743" s="147">
        <f t="shared" si="53"/>
        <v>3977938.8</v>
      </c>
      <c r="N743" s="147">
        <f t="shared" si="54"/>
        <v>3977938.8</v>
      </c>
      <c r="O743" s="147">
        <f t="shared" si="55"/>
        <v>3977938.8</v>
      </c>
      <c r="P743" s="140"/>
    </row>
    <row r="744" spans="1:16" s="31" customFormat="1" ht="31.5">
      <c r="A744" s="200">
        <v>88</v>
      </c>
      <c r="B744" s="200" t="s">
        <v>36</v>
      </c>
      <c r="C744" s="171" t="s">
        <v>1490</v>
      </c>
      <c r="D744" s="158" t="s">
        <v>1491</v>
      </c>
      <c r="E744" s="171" t="s">
        <v>1469</v>
      </c>
      <c r="F744" s="156">
        <v>43915</v>
      </c>
      <c r="G744" s="156">
        <v>44275</v>
      </c>
      <c r="H744" s="144">
        <v>11265000</v>
      </c>
      <c r="I744" s="144">
        <v>785170.5</v>
      </c>
      <c r="J744" s="144">
        <f t="shared" si="51"/>
        <v>10479829.5</v>
      </c>
      <c r="K744" s="141"/>
      <c r="L744" s="147">
        <f t="shared" si="52"/>
        <v>2619957.375</v>
      </c>
      <c r="M744" s="147">
        <f t="shared" si="53"/>
        <v>2619957.375</v>
      </c>
      <c r="N744" s="147">
        <f t="shared" si="54"/>
        <v>2619957.375</v>
      </c>
      <c r="O744" s="147">
        <f t="shared" si="55"/>
        <v>2619957.375</v>
      </c>
      <c r="P744" s="140"/>
    </row>
    <row r="745" spans="1:16" s="31" customFormat="1" ht="31.5">
      <c r="A745" s="158">
        <v>89</v>
      </c>
      <c r="B745" s="200" t="s">
        <v>36</v>
      </c>
      <c r="C745" s="171" t="s">
        <v>1492</v>
      </c>
      <c r="D745" s="158" t="s">
        <v>1491</v>
      </c>
      <c r="E745" s="171" t="s">
        <v>1469</v>
      </c>
      <c r="F745" s="156">
        <v>43915</v>
      </c>
      <c r="G745" s="156">
        <v>44275</v>
      </c>
      <c r="H745" s="144">
        <v>9000000</v>
      </c>
      <c r="I745" s="144">
        <v>928800</v>
      </c>
      <c r="J745" s="144">
        <f t="shared" si="51"/>
        <v>8071200</v>
      </c>
      <c r="K745" s="141"/>
      <c r="L745" s="147">
        <f t="shared" si="52"/>
        <v>2017800</v>
      </c>
      <c r="M745" s="147">
        <f t="shared" si="53"/>
        <v>2017800</v>
      </c>
      <c r="N745" s="147">
        <f t="shared" si="54"/>
        <v>2017800</v>
      </c>
      <c r="O745" s="147">
        <f t="shared" si="55"/>
        <v>2017800</v>
      </c>
      <c r="P745" s="140"/>
    </row>
    <row r="746" spans="1:16" s="31" customFormat="1" ht="31.5">
      <c r="A746" s="158">
        <v>90</v>
      </c>
      <c r="B746" s="200" t="s">
        <v>36</v>
      </c>
      <c r="C746" s="171" t="s">
        <v>1493</v>
      </c>
      <c r="D746" s="158" t="s">
        <v>1132</v>
      </c>
      <c r="E746" s="171" t="s">
        <v>1469</v>
      </c>
      <c r="F746" s="156">
        <v>43934</v>
      </c>
      <c r="G746" s="156">
        <v>44294</v>
      </c>
      <c r="H746" s="144">
        <v>8700000</v>
      </c>
      <c r="I746" s="144">
        <v>1788720</v>
      </c>
      <c r="J746" s="144">
        <f t="shared" si="51"/>
        <v>6911280</v>
      </c>
      <c r="K746" s="141"/>
      <c r="L746" s="147">
        <f t="shared" si="52"/>
        <v>1727820</v>
      </c>
      <c r="M746" s="147">
        <f t="shared" si="53"/>
        <v>1727820</v>
      </c>
      <c r="N746" s="147">
        <f t="shared" si="54"/>
        <v>1727820</v>
      </c>
      <c r="O746" s="147">
        <f t="shared" si="55"/>
        <v>1727820</v>
      </c>
      <c r="P746" s="140"/>
    </row>
    <row r="747" spans="1:16" s="31" customFormat="1" ht="31.5">
      <c r="A747" s="200">
        <v>91</v>
      </c>
      <c r="B747" s="200" t="s">
        <v>36</v>
      </c>
      <c r="C747" s="171" t="s">
        <v>1494</v>
      </c>
      <c r="D747" s="158" t="s">
        <v>1132</v>
      </c>
      <c r="E747" s="171" t="s">
        <v>1469</v>
      </c>
      <c r="F747" s="156">
        <v>43934</v>
      </c>
      <c r="G747" s="156">
        <v>44294</v>
      </c>
      <c r="H747" s="144">
        <v>8900000</v>
      </c>
      <c r="I747" s="144">
        <v>424530</v>
      </c>
      <c r="J747" s="144">
        <f t="shared" si="51"/>
        <v>8475470</v>
      </c>
      <c r="K747" s="141"/>
      <c r="L747" s="147">
        <f t="shared" si="52"/>
        <v>2118867.5</v>
      </c>
      <c r="M747" s="147">
        <f t="shared" si="53"/>
        <v>2118867.5</v>
      </c>
      <c r="N747" s="147">
        <f t="shared" si="54"/>
        <v>2118867.5</v>
      </c>
      <c r="O747" s="147">
        <f t="shared" si="55"/>
        <v>2118867.5</v>
      </c>
      <c r="P747" s="140"/>
    </row>
    <row r="748" spans="1:16" s="31" customFormat="1" ht="31.5">
      <c r="A748" s="158">
        <v>92</v>
      </c>
      <c r="B748" s="200" t="s">
        <v>36</v>
      </c>
      <c r="C748" s="171" t="s">
        <v>1495</v>
      </c>
      <c r="D748" s="158" t="s">
        <v>1482</v>
      </c>
      <c r="E748" s="171" t="s">
        <v>1469</v>
      </c>
      <c r="F748" s="156">
        <v>44224</v>
      </c>
      <c r="G748" s="156">
        <v>44804</v>
      </c>
      <c r="H748" s="144">
        <v>61400000</v>
      </c>
      <c r="I748" s="144">
        <v>626280</v>
      </c>
      <c r="J748" s="144">
        <f t="shared" si="51"/>
        <v>60773720</v>
      </c>
      <c r="K748" s="141"/>
      <c r="L748" s="147">
        <f t="shared" si="52"/>
        <v>15193430</v>
      </c>
      <c r="M748" s="147">
        <f t="shared" si="53"/>
        <v>15193430</v>
      </c>
      <c r="N748" s="147">
        <f t="shared" si="54"/>
        <v>15193430</v>
      </c>
      <c r="O748" s="147">
        <f t="shared" si="55"/>
        <v>15193430</v>
      </c>
      <c r="P748" s="140"/>
    </row>
    <row r="749" spans="1:16" s="31" customFormat="1" ht="31.5">
      <c r="A749" s="158">
        <v>93</v>
      </c>
      <c r="B749" s="200" t="s">
        <v>36</v>
      </c>
      <c r="C749" s="171" t="s">
        <v>1496</v>
      </c>
      <c r="D749" s="158" t="s">
        <v>403</v>
      </c>
      <c r="E749" s="171" t="s">
        <v>1469</v>
      </c>
      <c r="F749" s="156">
        <v>44053</v>
      </c>
      <c r="G749" s="156">
        <v>44473</v>
      </c>
      <c r="H749" s="144">
        <v>12469900</v>
      </c>
      <c r="I749" s="144">
        <v>144650.84</v>
      </c>
      <c r="J749" s="144">
        <f t="shared" si="51"/>
        <v>12325249.16</v>
      </c>
      <c r="K749" s="141"/>
      <c r="L749" s="147">
        <f t="shared" si="52"/>
        <v>3081312.29</v>
      </c>
      <c r="M749" s="147">
        <f t="shared" si="53"/>
        <v>3081312.29</v>
      </c>
      <c r="N749" s="147">
        <f t="shared" si="54"/>
        <v>3081312.29</v>
      </c>
      <c r="O749" s="147">
        <f t="shared" si="55"/>
        <v>3081312.29</v>
      </c>
      <c r="P749" s="140"/>
    </row>
    <row r="750" spans="1:16" s="31" customFormat="1" ht="31.5">
      <c r="A750" s="200">
        <v>94</v>
      </c>
      <c r="B750" s="200" t="s">
        <v>36</v>
      </c>
      <c r="C750" s="171" t="s">
        <v>1497</v>
      </c>
      <c r="D750" s="158" t="s">
        <v>403</v>
      </c>
      <c r="E750" s="171" t="s">
        <v>1469</v>
      </c>
      <c r="F750" s="156">
        <v>44053</v>
      </c>
      <c r="G750" s="156">
        <v>44473</v>
      </c>
      <c r="H750" s="144">
        <v>8913550</v>
      </c>
      <c r="I750" s="144">
        <v>740629.54999999993</v>
      </c>
      <c r="J750" s="144">
        <f t="shared" si="51"/>
        <v>8172920.4500000002</v>
      </c>
      <c r="K750" s="141"/>
      <c r="L750" s="147">
        <f t="shared" si="52"/>
        <v>2043230.1125</v>
      </c>
      <c r="M750" s="147">
        <f t="shared" si="53"/>
        <v>2043230.1125</v>
      </c>
      <c r="N750" s="147">
        <f t="shared" si="54"/>
        <v>2043230.1125</v>
      </c>
      <c r="O750" s="147">
        <f t="shared" si="55"/>
        <v>2043230.1125</v>
      </c>
      <c r="P750" s="140"/>
    </row>
    <row r="751" spans="1:16" s="31" customFormat="1" ht="31.5">
      <c r="A751" s="158">
        <v>95</v>
      </c>
      <c r="B751" s="200" t="s">
        <v>36</v>
      </c>
      <c r="C751" s="171" t="s">
        <v>1498</v>
      </c>
      <c r="D751" s="158" t="s">
        <v>403</v>
      </c>
      <c r="E751" s="171" t="s">
        <v>1469</v>
      </c>
      <c r="F751" s="156">
        <v>44053</v>
      </c>
      <c r="G751" s="156">
        <v>44473</v>
      </c>
      <c r="H751" s="144">
        <v>18521910</v>
      </c>
      <c r="I751" s="144">
        <v>1040931.3399999999</v>
      </c>
      <c r="J751" s="144">
        <f t="shared" si="51"/>
        <v>17480978.66</v>
      </c>
      <c r="K751" s="141"/>
      <c r="L751" s="147">
        <f t="shared" si="52"/>
        <v>4370244.665</v>
      </c>
      <c r="M751" s="147">
        <f t="shared" si="53"/>
        <v>4370244.665</v>
      </c>
      <c r="N751" s="147">
        <f t="shared" si="54"/>
        <v>4370244.665</v>
      </c>
      <c r="O751" s="147">
        <f t="shared" si="55"/>
        <v>4370244.665</v>
      </c>
      <c r="P751" s="140"/>
    </row>
    <row r="752" spans="1:16" s="31" customFormat="1" ht="31.5">
      <c r="A752" s="158">
        <v>96</v>
      </c>
      <c r="B752" s="200" t="s">
        <v>36</v>
      </c>
      <c r="C752" s="171" t="s">
        <v>1499</v>
      </c>
      <c r="D752" s="158" t="s">
        <v>406</v>
      </c>
      <c r="E752" s="171" t="s">
        <v>1469</v>
      </c>
      <c r="F752" s="156">
        <v>44053</v>
      </c>
      <c r="G752" s="156">
        <v>44473</v>
      </c>
      <c r="H752" s="144">
        <v>12000000</v>
      </c>
      <c r="I752" s="144">
        <v>1032000</v>
      </c>
      <c r="J752" s="144">
        <f t="shared" si="51"/>
        <v>10968000</v>
      </c>
      <c r="K752" s="141"/>
      <c r="L752" s="147">
        <f t="shared" si="52"/>
        <v>2742000</v>
      </c>
      <c r="M752" s="147">
        <f t="shared" si="53"/>
        <v>2742000</v>
      </c>
      <c r="N752" s="147">
        <f t="shared" si="54"/>
        <v>2742000</v>
      </c>
      <c r="O752" s="147">
        <f t="shared" si="55"/>
        <v>2742000</v>
      </c>
      <c r="P752" s="140"/>
    </row>
    <row r="753" spans="1:16" s="31" customFormat="1" ht="31.5">
      <c r="A753" s="200">
        <v>97</v>
      </c>
      <c r="B753" s="200" t="s">
        <v>36</v>
      </c>
      <c r="C753" s="171" t="s">
        <v>1500</v>
      </c>
      <c r="D753" s="158" t="s">
        <v>406</v>
      </c>
      <c r="E753" s="171" t="s">
        <v>1469</v>
      </c>
      <c r="F753" s="156">
        <v>44053</v>
      </c>
      <c r="G753" s="156">
        <v>44473</v>
      </c>
      <c r="H753" s="144">
        <v>13200000</v>
      </c>
      <c r="I753" s="144">
        <v>640200</v>
      </c>
      <c r="J753" s="144">
        <f t="shared" ref="J753:J776" si="56">H753-I753</f>
        <v>12559800</v>
      </c>
      <c r="K753" s="141"/>
      <c r="L753" s="147">
        <f t="shared" ref="L753:L776" si="57">J753*0.25</f>
        <v>3139950</v>
      </c>
      <c r="M753" s="147">
        <f t="shared" ref="M753:M776" si="58">J753*0.25</f>
        <v>3139950</v>
      </c>
      <c r="N753" s="147">
        <f t="shared" ref="N753:N776" si="59">J753*0.25</f>
        <v>3139950</v>
      </c>
      <c r="O753" s="147">
        <f t="shared" ref="O753:O776" si="60">J753*0.25</f>
        <v>3139950</v>
      </c>
      <c r="P753" s="140"/>
    </row>
    <row r="754" spans="1:16" s="31" customFormat="1" ht="31.5">
      <c r="A754" s="158">
        <v>98</v>
      </c>
      <c r="B754" s="200" t="s">
        <v>36</v>
      </c>
      <c r="C754" s="171" t="s">
        <v>1501</v>
      </c>
      <c r="D754" s="158" t="s">
        <v>434</v>
      </c>
      <c r="E754" s="171" t="s">
        <v>1469</v>
      </c>
      <c r="F754" s="156">
        <v>44053</v>
      </c>
      <c r="G754" s="156">
        <v>44473</v>
      </c>
      <c r="H754" s="144">
        <v>7300000</v>
      </c>
      <c r="I754" s="144">
        <v>622690</v>
      </c>
      <c r="J754" s="144">
        <f t="shared" si="56"/>
        <v>6677310</v>
      </c>
      <c r="K754" s="141"/>
      <c r="L754" s="147">
        <f t="shared" si="57"/>
        <v>1669327.5</v>
      </c>
      <c r="M754" s="147">
        <f t="shared" si="58"/>
        <v>1669327.5</v>
      </c>
      <c r="N754" s="147">
        <f t="shared" si="59"/>
        <v>1669327.5</v>
      </c>
      <c r="O754" s="147">
        <f t="shared" si="60"/>
        <v>1669327.5</v>
      </c>
      <c r="P754" s="140"/>
    </row>
    <row r="755" spans="1:16" s="31" customFormat="1" ht="31.5">
      <c r="A755" s="158">
        <v>99</v>
      </c>
      <c r="B755" s="200" t="s">
        <v>36</v>
      </c>
      <c r="C755" s="171" t="s">
        <v>1502</v>
      </c>
      <c r="D755" s="158" t="s">
        <v>357</v>
      </c>
      <c r="E755" s="171" t="s">
        <v>1469</v>
      </c>
      <c r="F755" s="156">
        <v>44053</v>
      </c>
      <c r="G755" s="156">
        <v>44563</v>
      </c>
      <c r="H755" s="144">
        <v>38930000</v>
      </c>
      <c r="I755" s="144">
        <v>1378122</v>
      </c>
      <c r="J755" s="144">
        <f t="shared" si="56"/>
        <v>37551878</v>
      </c>
      <c r="K755" s="141"/>
      <c r="L755" s="147">
        <f t="shared" si="57"/>
        <v>9387969.5</v>
      </c>
      <c r="M755" s="147">
        <f t="shared" si="58"/>
        <v>9387969.5</v>
      </c>
      <c r="N755" s="147">
        <f t="shared" si="59"/>
        <v>9387969.5</v>
      </c>
      <c r="O755" s="147">
        <f t="shared" si="60"/>
        <v>9387969.5</v>
      </c>
      <c r="P755" s="140"/>
    </row>
    <row r="756" spans="1:16" s="31" customFormat="1" ht="31.5">
      <c r="A756" s="200">
        <v>100</v>
      </c>
      <c r="B756" s="200" t="s">
        <v>36</v>
      </c>
      <c r="C756" s="171" t="s">
        <v>1503</v>
      </c>
      <c r="D756" s="158" t="s">
        <v>1484</v>
      </c>
      <c r="E756" s="171" t="s">
        <v>1469</v>
      </c>
      <c r="F756" s="156">
        <v>44053</v>
      </c>
      <c r="G756" s="156">
        <v>44563</v>
      </c>
      <c r="H756" s="144">
        <v>35487000</v>
      </c>
      <c r="I756" s="144">
        <v>894272.39999999991</v>
      </c>
      <c r="J756" s="144">
        <f t="shared" si="56"/>
        <v>34592727.600000001</v>
      </c>
      <c r="K756" s="141"/>
      <c r="L756" s="147">
        <f t="shared" si="57"/>
        <v>8648181.9000000004</v>
      </c>
      <c r="M756" s="147">
        <f t="shared" si="58"/>
        <v>8648181.9000000004</v>
      </c>
      <c r="N756" s="147">
        <f t="shared" si="59"/>
        <v>8648181.9000000004</v>
      </c>
      <c r="O756" s="147">
        <f t="shared" si="60"/>
        <v>8648181.9000000004</v>
      </c>
      <c r="P756" s="140"/>
    </row>
    <row r="757" spans="1:16" s="31" customFormat="1" ht="27" customHeight="1">
      <c r="A757" s="158">
        <v>101</v>
      </c>
      <c r="B757" s="200" t="s">
        <v>36</v>
      </c>
      <c r="C757" s="171" t="s">
        <v>1504</v>
      </c>
      <c r="D757" s="158" t="s">
        <v>1197</v>
      </c>
      <c r="E757" s="171" t="s">
        <v>1912</v>
      </c>
      <c r="F757" s="156">
        <v>44053</v>
      </c>
      <c r="G757" s="156">
        <v>44563</v>
      </c>
      <c r="H757" s="144">
        <v>36450000</v>
      </c>
      <c r="I757" s="144">
        <v>3247695</v>
      </c>
      <c r="J757" s="144">
        <f t="shared" si="56"/>
        <v>33202305</v>
      </c>
      <c r="K757" s="141"/>
      <c r="L757" s="147">
        <f t="shared" si="57"/>
        <v>8300576.25</v>
      </c>
      <c r="M757" s="147">
        <f t="shared" si="58"/>
        <v>8300576.25</v>
      </c>
      <c r="N757" s="147">
        <f t="shared" si="59"/>
        <v>8300576.25</v>
      </c>
      <c r="O757" s="147">
        <f t="shared" si="60"/>
        <v>8300576.25</v>
      </c>
      <c r="P757" s="140"/>
    </row>
    <row r="758" spans="1:16" s="31" customFormat="1" ht="27" customHeight="1">
      <c r="A758" s="158">
        <v>102</v>
      </c>
      <c r="B758" s="200" t="s">
        <v>36</v>
      </c>
      <c r="C758" s="171" t="s">
        <v>1505</v>
      </c>
      <c r="D758" s="158" t="s">
        <v>1197</v>
      </c>
      <c r="E758" s="171" t="s">
        <v>1912</v>
      </c>
      <c r="F758" s="156">
        <v>44053</v>
      </c>
      <c r="G758" s="156">
        <v>44563</v>
      </c>
      <c r="H758" s="144">
        <v>17800000</v>
      </c>
      <c r="I758" s="144">
        <v>1828060</v>
      </c>
      <c r="J758" s="144">
        <f t="shared" si="56"/>
        <v>15971940</v>
      </c>
      <c r="K758" s="141"/>
      <c r="L758" s="147">
        <f t="shared" si="57"/>
        <v>3992985</v>
      </c>
      <c r="M758" s="147">
        <f t="shared" si="58"/>
        <v>3992985</v>
      </c>
      <c r="N758" s="147">
        <f t="shared" si="59"/>
        <v>3992985</v>
      </c>
      <c r="O758" s="147">
        <f t="shared" si="60"/>
        <v>3992985</v>
      </c>
      <c r="P758" s="140"/>
    </row>
    <row r="759" spans="1:16" s="31" customFormat="1" ht="27" customHeight="1">
      <c r="A759" s="200">
        <v>103</v>
      </c>
      <c r="B759" s="200" t="s">
        <v>36</v>
      </c>
      <c r="C759" s="171" t="s">
        <v>1506</v>
      </c>
      <c r="D759" s="158" t="s">
        <v>1132</v>
      </c>
      <c r="E759" s="171" t="s">
        <v>1912</v>
      </c>
      <c r="F759" s="156">
        <v>44053</v>
      </c>
      <c r="G759" s="156">
        <v>44563</v>
      </c>
      <c r="H759" s="144">
        <v>15300000</v>
      </c>
      <c r="I759" s="144">
        <v>185130</v>
      </c>
      <c r="J759" s="144">
        <f t="shared" si="56"/>
        <v>15114870</v>
      </c>
      <c r="K759" s="141"/>
      <c r="L759" s="147">
        <f t="shared" si="57"/>
        <v>3778717.5</v>
      </c>
      <c r="M759" s="147">
        <f t="shared" si="58"/>
        <v>3778717.5</v>
      </c>
      <c r="N759" s="147">
        <f t="shared" si="59"/>
        <v>3778717.5</v>
      </c>
      <c r="O759" s="147">
        <f t="shared" si="60"/>
        <v>3778717.5</v>
      </c>
      <c r="P759" s="140"/>
    </row>
    <row r="760" spans="1:16" s="31" customFormat="1" ht="27" customHeight="1">
      <c r="A760" s="158">
        <v>104</v>
      </c>
      <c r="B760" s="200" t="s">
        <v>36</v>
      </c>
      <c r="C760" s="171" t="s">
        <v>1507</v>
      </c>
      <c r="D760" s="158" t="s">
        <v>197</v>
      </c>
      <c r="E760" s="171" t="s">
        <v>1912</v>
      </c>
      <c r="F760" s="156">
        <v>44053</v>
      </c>
      <c r="G760" s="156">
        <v>44563</v>
      </c>
      <c r="H760" s="144">
        <v>38100000</v>
      </c>
      <c r="I760" s="144">
        <v>563879.99999999953</v>
      </c>
      <c r="J760" s="144">
        <f t="shared" si="56"/>
        <v>37536120</v>
      </c>
      <c r="K760" s="141"/>
      <c r="L760" s="147">
        <f t="shared" si="57"/>
        <v>9384030</v>
      </c>
      <c r="M760" s="147">
        <f t="shared" si="58"/>
        <v>9384030</v>
      </c>
      <c r="N760" s="147">
        <f t="shared" si="59"/>
        <v>9384030</v>
      </c>
      <c r="O760" s="147">
        <f t="shared" si="60"/>
        <v>9384030</v>
      </c>
      <c r="P760" s="140"/>
    </row>
    <row r="761" spans="1:16" s="31" customFormat="1" ht="27" customHeight="1">
      <c r="A761" s="158">
        <v>105</v>
      </c>
      <c r="B761" s="200" t="s">
        <v>36</v>
      </c>
      <c r="C761" s="171" t="s">
        <v>1508</v>
      </c>
      <c r="D761" s="158" t="s">
        <v>1191</v>
      </c>
      <c r="E761" s="171" t="s">
        <v>1912</v>
      </c>
      <c r="F761" s="156">
        <v>44105</v>
      </c>
      <c r="G761" s="156">
        <v>44615</v>
      </c>
      <c r="H761" s="144">
        <v>32324000</v>
      </c>
      <c r="I761" s="144">
        <v>1612967.6</v>
      </c>
      <c r="J761" s="144">
        <f t="shared" si="56"/>
        <v>30711032.399999999</v>
      </c>
      <c r="K761" s="141"/>
      <c r="L761" s="147">
        <f t="shared" si="57"/>
        <v>7677758.0999999996</v>
      </c>
      <c r="M761" s="147">
        <f t="shared" si="58"/>
        <v>7677758.0999999996</v>
      </c>
      <c r="N761" s="147">
        <f t="shared" si="59"/>
        <v>7677758.0999999996</v>
      </c>
      <c r="O761" s="147">
        <f t="shared" si="60"/>
        <v>7677758.0999999996</v>
      </c>
      <c r="P761" s="140"/>
    </row>
    <row r="762" spans="1:16" s="31" customFormat="1" ht="33.75" customHeight="1">
      <c r="A762" s="200">
        <v>106</v>
      </c>
      <c r="B762" s="200" t="s">
        <v>36</v>
      </c>
      <c r="C762" s="171" t="s">
        <v>1509</v>
      </c>
      <c r="D762" s="158" t="s">
        <v>357</v>
      </c>
      <c r="E762" s="171" t="s">
        <v>1912</v>
      </c>
      <c r="F762" s="156">
        <v>44105</v>
      </c>
      <c r="G762" s="156">
        <v>44615</v>
      </c>
      <c r="H762" s="144">
        <v>14500000</v>
      </c>
      <c r="I762" s="144">
        <v>108750</v>
      </c>
      <c r="J762" s="144">
        <f t="shared" si="56"/>
        <v>14391250</v>
      </c>
      <c r="K762" s="141"/>
      <c r="L762" s="147">
        <f t="shared" si="57"/>
        <v>3597812.5</v>
      </c>
      <c r="M762" s="147">
        <f t="shared" si="58"/>
        <v>3597812.5</v>
      </c>
      <c r="N762" s="147">
        <f t="shared" si="59"/>
        <v>3597812.5</v>
      </c>
      <c r="O762" s="147">
        <f t="shared" si="60"/>
        <v>3597812.5</v>
      </c>
      <c r="P762" s="140"/>
    </row>
    <row r="763" spans="1:16" s="31" customFormat="1" ht="33.75" customHeight="1">
      <c r="A763" s="158">
        <v>107</v>
      </c>
      <c r="B763" s="200" t="s">
        <v>36</v>
      </c>
      <c r="C763" s="171" t="s">
        <v>1510</v>
      </c>
      <c r="D763" s="158" t="s">
        <v>1491</v>
      </c>
      <c r="E763" s="171" t="s">
        <v>1912</v>
      </c>
      <c r="F763" s="156">
        <v>44105</v>
      </c>
      <c r="G763" s="156">
        <v>44705</v>
      </c>
      <c r="H763" s="144">
        <v>43140000</v>
      </c>
      <c r="I763" s="144">
        <v>1984440</v>
      </c>
      <c r="J763" s="144">
        <f t="shared" si="56"/>
        <v>41155560</v>
      </c>
      <c r="K763" s="141"/>
      <c r="L763" s="147">
        <f t="shared" si="57"/>
        <v>10288890</v>
      </c>
      <c r="M763" s="147">
        <f t="shared" si="58"/>
        <v>10288890</v>
      </c>
      <c r="N763" s="147">
        <f t="shared" si="59"/>
        <v>10288890</v>
      </c>
      <c r="O763" s="147">
        <f t="shared" si="60"/>
        <v>10288890</v>
      </c>
      <c r="P763" s="140"/>
    </row>
    <row r="764" spans="1:16" s="31" customFormat="1" ht="33.75" customHeight="1">
      <c r="A764" s="158">
        <v>108</v>
      </c>
      <c r="B764" s="200" t="s">
        <v>36</v>
      </c>
      <c r="C764" s="171" t="s">
        <v>1511</v>
      </c>
      <c r="D764" s="158" t="s">
        <v>1491</v>
      </c>
      <c r="E764" s="171" t="s">
        <v>1912</v>
      </c>
      <c r="F764" s="156">
        <v>44105</v>
      </c>
      <c r="G764" s="156">
        <v>44705</v>
      </c>
      <c r="H764" s="144">
        <v>55000000</v>
      </c>
      <c r="I764" s="144">
        <v>6528500</v>
      </c>
      <c r="J764" s="144">
        <f t="shared" si="56"/>
        <v>48471500</v>
      </c>
      <c r="K764" s="141"/>
      <c r="L764" s="147">
        <f t="shared" si="57"/>
        <v>12117875</v>
      </c>
      <c r="M764" s="147">
        <f t="shared" si="58"/>
        <v>12117875</v>
      </c>
      <c r="N764" s="147">
        <f t="shared" si="59"/>
        <v>12117875</v>
      </c>
      <c r="O764" s="147">
        <f t="shared" si="60"/>
        <v>12117875</v>
      </c>
      <c r="P764" s="140"/>
    </row>
    <row r="765" spans="1:16" s="31" customFormat="1" ht="33.75" customHeight="1">
      <c r="A765" s="200">
        <v>109</v>
      </c>
      <c r="B765" s="200" t="s">
        <v>36</v>
      </c>
      <c r="C765" s="171" t="s">
        <v>1512</v>
      </c>
      <c r="D765" s="158" t="s">
        <v>1491</v>
      </c>
      <c r="E765" s="171" t="s">
        <v>1912</v>
      </c>
      <c r="F765" s="156">
        <v>44105</v>
      </c>
      <c r="G765" s="156">
        <v>44705</v>
      </c>
      <c r="H765" s="144">
        <v>48500000</v>
      </c>
      <c r="I765" s="144">
        <v>4879100</v>
      </c>
      <c r="J765" s="144">
        <f t="shared" si="56"/>
        <v>43620900</v>
      </c>
      <c r="K765" s="141"/>
      <c r="L765" s="147">
        <f t="shared" si="57"/>
        <v>10905225</v>
      </c>
      <c r="M765" s="147">
        <f t="shared" si="58"/>
        <v>10905225</v>
      </c>
      <c r="N765" s="147">
        <f t="shared" si="59"/>
        <v>10905225</v>
      </c>
      <c r="O765" s="147">
        <f t="shared" si="60"/>
        <v>10905225</v>
      </c>
      <c r="P765" s="140"/>
    </row>
    <row r="766" spans="1:16" s="31" customFormat="1" ht="33.75" customHeight="1">
      <c r="A766" s="158">
        <v>110</v>
      </c>
      <c r="B766" s="200" t="s">
        <v>36</v>
      </c>
      <c r="C766" s="171" t="s">
        <v>1513</v>
      </c>
      <c r="D766" s="158" t="s">
        <v>406</v>
      </c>
      <c r="E766" s="171" t="s">
        <v>1912</v>
      </c>
      <c r="F766" s="156">
        <v>44123</v>
      </c>
      <c r="G766" s="156">
        <v>44543</v>
      </c>
      <c r="H766" s="144">
        <v>13670000</v>
      </c>
      <c r="I766" s="144">
        <v>306208</v>
      </c>
      <c r="J766" s="144">
        <f t="shared" si="56"/>
        <v>13363792</v>
      </c>
      <c r="K766" s="141"/>
      <c r="L766" s="147">
        <f t="shared" si="57"/>
        <v>3340948</v>
      </c>
      <c r="M766" s="147">
        <f t="shared" si="58"/>
        <v>3340948</v>
      </c>
      <c r="N766" s="147">
        <f t="shared" si="59"/>
        <v>3340948</v>
      </c>
      <c r="O766" s="147">
        <f t="shared" si="60"/>
        <v>3340948</v>
      </c>
      <c r="P766" s="140"/>
    </row>
    <row r="767" spans="1:16" s="31" customFormat="1" ht="33.75" customHeight="1">
      <c r="A767" s="158">
        <v>111</v>
      </c>
      <c r="B767" s="200" t="s">
        <v>36</v>
      </c>
      <c r="C767" s="171" t="s">
        <v>1514</v>
      </c>
      <c r="D767" s="158" t="s">
        <v>406</v>
      </c>
      <c r="E767" s="171" t="s">
        <v>1912</v>
      </c>
      <c r="F767" s="156">
        <v>44123</v>
      </c>
      <c r="G767" s="156">
        <v>44503</v>
      </c>
      <c r="H767" s="144">
        <v>2630000</v>
      </c>
      <c r="I767" s="144">
        <v>23670</v>
      </c>
      <c r="J767" s="144">
        <f t="shared" si="56"/>
        <v>2606330</v>
      </c>
      <c r="K767" s="141"/>
      <c r="L767" s="147">
        <f t="shared" si="57"/>
        <v>651582.5</v>
      </c>
      <c r="M767" s="147">
        <f t="shared" si="58"/>
        <v>651582.5</v>
      </c>
      <c r="N767" s="147">
        <f t="shared" si="59"/>
        <v>651582.5</v>
      </c>
      <c r="O767" s="147">
        <f t="shared" si="60"/>
        <v>651582.5</v>
      </c>
      <c r="P767" s="140"/>
    </row>
    <row r="768" spans="1:16" s="31" customFormat="1" ht="33.75" customHeight="1">
      <c r="A768" s="200">
        <v>112</v>
      </c>
      <c r="B768" s="200" t="s">
        <v>36</v>
      </c>
      <c r="C768" s="171" t="s">
        <v>1515</v>
      </c>
      <c r="D768" s="158" t="s">
        <v>406</v>
      </c>
      <c r="E768" s="171" t="s">
        <v>1912</v>
      </c>
      <c r="F768" s="156">
        <v>44174</v>
      </c>
      <c r="G768" s="156">
        <v>44594</v>
      </c>
      <c r="H768" s="144">
        <v>7437033</v>
      </c>
      <c r="I768" s="144">
        <v>0</v>
      </c>
      <c r="J768" s="144">
        <f t="shared" si="56"/>
        <v>7437033</v>
      </c>
      <c r="K768" s="141"/>
      <c r="L768" s="147">
        <f t="shared" si="57"/>
        <v>1859258.25</v>
      </c>
      <c r="M768" s="147">
        <f t="shared" si="58"/>
        <v>1859258.25</v>
      </c>
      <c r="N768" s="147">
        <f t="shared" si="59"/>
        <v>1859258.25</v>
      </c>
      <c r="O768" s="147">
        <f t="shared" si="60"/>
        <v>1859258.25</v>
      </c>
      <c r="P768" s="140"/>
    </row>
    <row r="769" spans="1:16" s="31" customFormat="1" ht="33.75" customHeight="1">
      <c r="A769" s="158">
        <v>113</v>
      </c>
      <c r="B769" s="200" t="s">
        <v>36</v>
      </c>
      <c r="C769" s="171" t="s">
        <v>1516</v>
      </c>
      <c r="D769" s="158" t="s">
        <v>406</v>
      </c>
      <c r="E769" s="171" t="s">
        <v>1912</v>
      </c>
      <c r="F769" s="156">
        <v>44174</v>
      </c>
      <c r="G769" s="156">
        <v>44594</v>
      </c>
      <c r="H769" s="144">
        <v>12429967</v>
      </c>
      <c r="I769" s="144">
        <v>0</v>
      </c>
      <c r="J769" s="144">
        <f t="shared" si="56"/>
        <v>12429967</v>
      </c>
      <c r="K769" s="141"/>
      <c r="L769" s="147">
        <f t="shared" si="57"/>
        <v>3107491.75</v>
      </c>
      <c r="M769" s="147">
        <f t="shared" si="58"/>
        <v>3107491.75</v>
      </c>
      <c r="N769" s="147">
        <f t="shared" si="59"/>
        <v>3107491.75</v>
      </c>
      <c r="O769" s="147">
        <f t="shared" si="60"/>
        <v>3107491.75</v>
      </c>
      <c r="P769" s="140"/>
    </row>
    <row r="770" spans="1:16" s="31" customFormat="1" ht="33.75" customHeight="1">
      <c r="A770" s="158">
        <v>114</v>
      </c>
      <c r="B770" s="200" t="s">
        <v>36</v>
      </c>
      <c r="C770" s="171" t="s">
        <v>1517</v>
      </c>
      <c r="D770" s="158" t="s">
        <v>1518</v>
      </c>
      <c r="E770" s="171" t="s">
        <v>1912</v>
      </c>
      <c r="F770" s="156">
        <v>44224</v>
      </c>
      <c r="G770" s="156">
        <v>44644</v>
      </c>
      <c r="H770" s="144">
        <v>13792681</v>
      </c>
      <c r="I770" s="144">
        <v>0</v>
      </c>
      <c r="J770" s="144">
        <f t="shared" si="56"/>
        <v>13792681</v>
      </c>
      <c r="K770" s="141"/>
      <c r="L770" s="147">
        <f t="shared" si="57"/>
        <v>3448170.25</v>
      </c>
      <c r="M770" s="147">
        <f t="shared" si="58"/>
        <v>3448170.25</v>
      </c>
      <c r="N770" s="147">
        <f t="shared" si="59"/>
        <v>3448170.25</v>
      </c>
      <c r="O770" s="147">
        <f t="shared" si="60"/>
        <v>3448170.25</v>
      </c>
      <c r="P770" s="140"/>
    </row>
    <row r="771" spans="1:16" s="31" customFormat="1" ht="27" customHeight="1">
      <c r="A771" s="200">
        <v>115</v>
      </c>
      <c r="B771" s="200" t="s">
        <v>36</v>
      </c>
      <c r="C771" s="171" t="s">
        <v>1519</v>
      </c>
      <c r="D771" s="158" t="s">
        <v>1518</v>
      </c>
      <c r="E771" s="171" t="s">
        <v>1912</v>
      </c>
      <c r="F771" s="156">
        <v>44224</v>
      </c>
      <c r="G771" s="156">
        <v>44706</v>
      </c>
      <c r="H771" s="144">
        <v>25092319</v>
      </c>
      <c r="I771" s="144">
        <v>0</v>
      </c>
      <c r="J771" s="144">
        <f t="shared" si="56"/>
        <v>25092319</v>
      </c>
      <c r="K771" s="141"/>
      <c r="L771" s="147">
        <f t="shared" si="57"/>
        <v>6273079.75</v>
      </c>
      <c r="M771" s="147">
        <f t="shared" si="58"/>
        <v>6273079.75</v>
      </c>
      <c r="N771" s="147">
        <f t="shared" si="59"/>
        <v>6273079.75</v>
      </c>
      <c r="O771" s="147">
        <f t="shared" si="60"/>
        <v>6273079.75</v>
      </c>
      <c r="P771" s="140"/>
    </row>
    <row r="772" spans="1:16" s="31" customFormat="1" ht="27" customHeight="1">
      <c r="A772" s="158">
        <v>116</v>
      </c>
      <c r="B772" s="200" t="s">
        <v>36</v>
      </c>
      <c r="C772" s="171" t="s">
        <v>1520</v>
      </c>
      <c r="D772" s="158" t="s">
        <v>1521</v>
      </c>
      <c r="E772" s="171" t="s">
        <v>1912</v>
      </c>
      <c r="F772" s="156">
        <v>44224</v>
      </c>
      <c r="G772" s="156">
        <v>44704</v>
      </c>
      <c r="H772" s="144">
        <v>23675000</v>
      </c>
      <c r="I772" s="144">
        <v>0</v>
      </c>
      <c r="J772" s="144">
        <f t="shared" si="56"/>
        <v>23675000</v>
      </c>
      <c r="K772" s="141"/>
      <c r="L772" s="147">
        <f t="shared" si="57"/>
        <v>5918750</v>
      </c>
      <c r="M772" s="147">
        <f t="shared" si="58"/>
        <v>5918750</v>
      </c>
      <c r="N772" s="147">
        <f t="shared" si="59"/>
        <v>5918750</v>
      </c>
      <c r="O772" s="147">
        <f t="shared" si="60"/>
        <v>5918750</v>
      </c>
      <c r="P772" s="140"/>
    </row>
    <row r="773" spans="1:16" s="31" customFormat="1" ht="31.5">
      <c r="A773" s="158">
        <v>117</v>
      </c>
      <c r="B773" s="200" t="s">
        <v>36</v>
      </c>
      <c r="C773" s="171" t="s">
        <v>1522</v>
      </c>
      <c r="D773" s="158" t="s">
        <v>1523</v>
      </c>
      <c r="E773" s="171" t="s">
        <v>1469</v>
      </c>
      <c r="F773" s="156">
        <v>44239</v>
      </c>
      <c r="G773" s="156">
        <v>44689</v>
      </c>
      <c r="H773" s="144">
        <v>24640000</v>
      </c>
      <c r="I773" s="144">
        <v>0</v>
      </c>
      <c r="J773" s="144">
        <f t="shared" si="56"/>
        <v>24640000</v>
      </c>
      <c r="K773" s="141"/>
      <c r="L773" s="147">
        <f t="shared" si="57"/>
        <v>6160000</v>
      </c>
      <c r="M773" s="147">
        <f t="shared" si="58"/>
        <v>6160000</v>
      </c>
      <c r="N773" s="147">
        <f t="shared" si="59"/>
        <v>6160000</v>
      </c>
      <c r="O773" s="147">
        <f t="shared" si="60"/>
        <v>6160000</v>
      </c>
      <c r="P773" s="140"/>
    </row>
    <row r="774" spans="1:16" s="31" customFormat="1" ht="31.5">
      <c r="A774" s="200">
        <v>118</v>
      </c>
      <c r="B774" s="200" t="s">
        <v>36</v>
      </c>
      <c r="C774" s="171" t="s">
        <v>1524</v>
      </c>
      <c r="D774" s="158" t="s">
        <v>434</v>
      </c>
      <c r="E774" s="171" t="s">
        <v>1489</v>
      </c>
      <c r="F774" s="156">
        <v>43847</v>
      </c>
      <c r="G774" s="156">
        <v>44447</v>
      </c>
      <c r="H774" s="144">
        <v>15667000</v>
      </c>
      <c r="I774" s="144">
        <v>606312.89999999991</v>
      </c>
      <c r="J774" s="144">
        <f t="shared" si="56"/>
        <v>15060687.1</v>
      </c>
      <c r="K774" s="141"/>
      <c r="L774" s="147">
        <f t="shared" si="57"/>
        <v>3765171.7749999999</v>
      </c>
      <c r="M774" s="147">
        <f t="shared" si="58"/>
        <v>3765171.7749999999</v>
      </c>
      <c r="N774" s="147">
        <f t="shared" si="59"/>
        <v>3765171.7749999999</v>
      </c>
      <c r="O774" s="147">
        <f t="shared" si="60"/>
        <v>3765171.7749999999</v>
      </c>
      <c r="P774" s="140"/>
    </row>
    <row r="775" spans="1:16" s="31" customFormat="1" ht="31.5">
      <c r="A775" s="158">
        <v>119</v>
      </c>
      <c r="B775" s="200" t="s">
        <v>36</v>
      </c>
      <c r="C775" s="171" t="s">
        <v>1525</v>
      </c>
      <c r="D775" s="158" t="s">
        <v>1122</v>
      </c>
      <c r="E775" s="171" t="s">
        <v>1469</v>
      </c>
      <c r="F775" s="156">
        <v>44053</v>
      </c>
      <c r="G775" s="156">
        <v>44653</v>
      </c>
      <c r="H775" s="144">
        <v>40989000</v>
      </c>
      <c r="I775" s="144">
        <v>2442944.4000000004</v>
      </c>
      <c r="J775" s="144">
        <f t="shared" si="56"/>
        <v>38546055.600000001</v>
      </c>
      <c r="K775" s="141"/>
      <c r="L775" s="147">
        <f t="shared" si="57"/>
        <v>9636513.9000000004</v>
      </c>
      <c r="M775" s="147">
        <f t="shared" si="58"/>
        <v>9636513.9000000004</v>
      </c>
      <c r="N775" s="147">
        <f t="shared" si="59"/>
        <v>9636513.9000000004</v>
      </c>
      <c r="O775" s="147">
        <f t="shared" si="60"/>
        <v>9636513.9000000004</v>
      </c>
      <c r="P775" s="140"/>
    </row>
    <row r="776" spans="1:16" s="31" customFormat="1" ht="32.25" thickBot="1">
      <c r="A776" s="158">
        <v>120</v>
      </c>
      <c r="B776" s="200" t="s">
        <v>36</v>
      </c>
      <c r="C776" s="171" t="s">
        <v>1526</v>
      </c>
      <c r="D776" s="158" t="s">
        <v>1434</v>
      </c>
      <c r="E776" s="171" t="s">
        <v>1469</v>
      </c>
      <c r="F776" s="156">
        <v>44264</v>
      </c>
      <c r="G776" s="156">
        <v>44864</v>
      </c>
      <c r="H776" s="144">
        <v>59200000</v>
      </c>
      <c r="I776" s="144">
        <v>0</v>
      </c>
      <c r="J776" s="144">
        <f t="shared" si="56"/>
        <v>59200000</v>
      </c>
      <c r="K776" s="141"/>
      <c r="L776" s="147">
        <f t="shared" si="57"/>
        <v>14800000</v>
      </c>
      <c r="M776" s="147">
        <f t="shared" si="58"/>
        <v>14800000</v>
      </c>
      <c r="N776" s="147">
        <f t="shared" si="59"/>
        <v>14800000</v>
      </c>
      <c r="O776" s="147">
        <f t="shared" si="60"/>
        <v>14800000</v>
      </c>
      <c r="P776" s="140"/>
    </row>
    <row r="777" spans="1:16" s="111" customFormat="1" ht="30" customHeight="1" thickBot="1">
      <c r="A777" s="668" t="s">
        <v>20</v>
      </c>
      <c r="B777" s="669"/>
      <c r="C777" s="669"/>
      <c r="D777" s="669"/>
      <c r="E777" s="669"/>
      <c r="F777" s="669"/>
      <c r="G777" s="670"/>
      <c r="H777" s="146">
        <f t="shared" ref="H777:O777" si="61">SUM(H657:H776)</f>
        <v>1329974532.72</v>
      </c>
      <c r="I777" s="146">
        <f t="shared" si="61"/>
        <v>166401550.97100005</v>
      </c>
      <c r="J777" s="146">
        <f t="shared" si="61"/>
        <v>1163572981.7490001</v>
      </c>
      <c r="K777" s="146">
        <f t="shared" si="61"/>
        <v>0</v>
      </c>
      <c r="L777" s="146">
        <f t="shared" si="61"/>
        <v>290893245.43725002</v>
      </c>
      <c r="M777" s="146">
        <f t="shared" si="61"/>
        <v>290893245.43725002</v>
      </c>
      <c r="N777" s="146">
        <f t="shared" si="61"/>
        <v>290893245.43725002</v>
      </c>
      <c r="O777" s="146">
        <f t="shared" si="61"/>
        <v>290893245.43725002</v>
      </c>
      <c r="P777" s="118"/>
    </row>
    <row r="778" spans="1:16" ht="15.75" thickBot="1">
      <c r="A778" s="671"/>
      <c r="B778" s="672"/>
      <c r="C778" s="672"/>
      <c r="D778" s="672"/>
      <c r="E778" s="672"/>
      <c r="F778" s="672"/>
      <c r="G778" s="672"/>
      <c r="H778" s="672"/>
      <c r="I778" s="672"/>
      <c r="J778" s="672"/>
      <c r="K778" s="672"/>
      <c r="L778" s="672"/>
      <c r="M778" s="672"/>
      <c r="N778" s="672"/>
      <c r="O778" s="672"/>
      <c r="P778" s="673"/>
    </row>
    <row r="779" spans="1:16" s="69" customFormat="1" ht="30" customHeight="1">
      <c r="A779" s="719" t="s">
        <v>180</v>
      </c>
      <c r="B779" s="719"/>
      <c r="C779" s="719"/>
      <c r="D779" s="719"/>
      <c r="E779" s="719"/>
      <c r="F779" s="719"/>
      <c r="G779" s="719"/>
      <c r="H779" s="719"/>
      <c r="I779" s="719"/>
      <c r="J779" s="719"/>
      <c r="K779" s="719"/>
      <c r="L779" s="719"/>
      <c r="M779" s="719"/>
      <c r="N779" s="719"/>
      <c r="O779" s="719"/>
      <c r="P779" s="719"/>
    </row>
    <row r="780" spans="1:16" ht="30" customHeight="1">
      <c r="A780" s="714" t="s">
        <v>181</v>
      </c>
      <c r="B780" s="714"/>
      <c r="C780" s="714"/>
      <c r="D780" s="714"/>
      <c r="E780" s="714"/>
      <c r="F780" s="714"/>
      <c r="G780" s="714"/>
      <c r="H780" s="714"/>
      <c r="I780" s="714"/>
      <c r="J780" s="714"/>
      <c r="K780" s="714"/>
      <c r="L780" s="714"/>
      <c r="M780" s="714"/>
      <c r="N780" s="714"/>
      <c r="O780" s="714"/>
      <c r="P780" s="714"/>
    </row>
    <row r="781" spans="1:16" s="31" customFormat="1" ht="39" customHeight="1" thickBot="1">
      <c r="A781" s="158">
        <v>1</v>
      </c>
      <c r="B781" s="158" t="s">
        <v>40</v>
      </c>
      <c r="C781" s="201" t="s">
        <v>35</v>
      </c>
      <c r="D781" s="152" t="s">
        <v>187</v>
      </c>
      <c r="E781" s="152" t="s">
        <v>1362</v>
      </c>
      <c r="F781" s="152">
        <v>2021</v>
      </c>
      <c r="G781" s="202">
        <v>2021</v>
      </c>
      <c r="H781" s="203">
        <v>11371000</v>
      </c>
      <c r="I781" s="219"/>
      <c r="J781" s="203">
        <v>11371000</v>
      </c>
      <c r="K781" s="152"/>
      <c r="L781" s="144">
        <v>2842750</v>
      </c>
      <c r="M781" s="144">
        <v>2842750</v>
      </c>
      <c r="N781" s="144">
        <v>2842750</v>
      </c>
      <c r="O781" s="144">
        <v>2842750</v>
      </c>
      <c r="P781" s="140"/>
    </row>
    <row r="782" spans="1:16" s="33" customFormat="1" ht="30" customHeight="1" thickBot="1">
      <c r="A782" s="668" t="s">
        <v>20</v>
      </c>
      <c r="B782" s="669"/>
      <c r="C782" s="669"/>
      <c r="D782" s="669"/>
      <c r="E782" s="669"/>
      <c r="F782" s="669"/>
      <c r="G782" s="670"/>
      <c r="H782" s="406">
        <f>SUM(H781)</f>
        <v>11371000</v>
      </c>
      <c r="I782" s="406">
        <f>SUM(I781)</f>
        <v>0</v>
      </c>
      <c r="J782" s="406">
        <v>1958000</v>
      </c>
      <c r="K782" s="406">
        <f>SUM(K781)</f>
        <v>0</v>
      </c>
      <c r="L782" s="406">
        <f>SUM(L781)</f>
        <v>2842750</v>
      </c>
      <c r="M782" s="406">
        <f>SUM(M781)</f>
        <v>2842750</v>
      </c>
      <c r="N782" s="406">
        <f>SUM(N781)</f>
        <v>2842750</v>
      </c>
      <c r="O782" s="406">
        <f>SUM(O781)</f>
        <v>2842750</v>
      </c>
      <c r="P782" s="132"/>
    </row>
    <row r="783" spans="1:16" s="6" customFormat="1" ht="19.5" customHeight="1" thickBot="1">
      <c r="A783" s="671"/>
      <c r="B783" s="672"/>
      <c r="C783" s="672"/>
      <c r="D783" s="672"/>
      <c r="E783" s="672"/>
      <c r="F783" s="672"/>
      <c r="G783" s="672"/>
      <c r="H783" s="672"/>
      <c r="I783" s="672"/>
      <c r="J783" s="672"/>
      <c r="K783" s="672"/>
      <c r="L783" s="672"/>
      <c r="M783" s="672"/>
      <c r="N783" s="672"/>
      <c r="O783" s="672"/>
      <c r="P783" s="673"/>
    </row>
    <row r="784" spans="1:16" s="18" customFormat="1" ht="30" customHeight="1">
      <c r="A784" s="714" t="s">
        <v>64</v>
      </c>
      <c r="B784" s="714"/>
      <c r="C784" s="714"/>
      <c r="D784" s="714"/>
      <c r="E784" s="714"/>
      <c r="F784" s="714"/>
      <c r="G784" s="714"/>
      <c r="H784" s="714"/>
      <c r="I784" s="714"/>
      <c r="J784" s="714"/>
      <c r="K784" s="714"/>
      <c r="L784" s="714"/>
      <c r="M784" s="714"/>
      <c r="N784" s="714"/>
      <c r="O784" s="714"/>
      <c r="P784" s="714"/>
    </row>
    <row r="785" spans="1:16" s="31" customFormat="1" ht="38.25" customHeight="1">
      <c r="A785" s="200">
        <v>1</v>
      </c>
      <c r="B785" s="170" t="s">
        <v>63</v>
      </c>
      <c r="C785" s="258" t="s">
        <v>188</v>
      </c>
      <c r="D785" s="259" t="s">
        <v>187</v>
      </c>
      <c r="E785" s="559" t="s">
        <v>61</v>
      </c>
      <c r="F785" s="171">
        <v>2011</v>
      </c>
      <c r="G785" s="171">
        <v>2021</v>
      </c>
      <c r="H785" s="175">
        <v>37707811</v>
      </c>
      <c r="I785" s="175">
        <v>17816611</v>
      </c>
      <c r="J785" s="175">
        <v>19891200</v>
      </c>
      <c r="K785" s="147"/>
      <c r="L785" s="175">
        <v>0</v>
      </c>
      <c r="M785" s="175">
        <v>19891200</v>
      </c>
      <c r="N785" s="175">
        <v>0</v>
      </c>
      <c r="O785" s="175">
        <v>0</v>
      </c>
      <c r="P785" s="366"/>
    </row>
    <row r="786" spans="1:16" s="31" customFormat="1" ht="38.25" customHeight="1">
      <c r="A786" s="158">
        <v>2</v>
      </c>
      <c r="B786" s="171" t="s">
        <v>63</v>
      </c>
      <c r="C786" s="258" t="s">
        <v>189</v>
      </c>
      <c r="D786" s="259" t="s">
        <v>187</v>
      </c>
      <c r="E786" s="559" t="s">
        <v>192</v>
      </c>
      <c r="F786" s="260">
        <v>2015</v>
      </c>
      <c r="G786" s="260">
        <v>2023</v>
      </c>
      <c r="H786" s="175">
        <v>11991742</v>
      </c>
      <c r="I786" s="175">
        <v>683786</v>
      </c>
      <c r="J786" s="175">
        <v>3634000</v>
      </c>
      <c r="K786" s="141"/>
      <c r="L786" s="175">
        <v>547000</v>
      </c>
      <c r="M786" s="175">
        <v>0</v>
      </c>
      <c r="N786" s="175">
        <v>1909000</v>
      </c>
      <c r="O786" s="175">
        <f>472298+522000+183702</f>
        <v>1178000</v>
      </c>
      <c r="P786" s="140"/>
    </row>
    <row r="787" spans="1:16" s="31" customFormat="1" ht="38.25" customHeight="1">
      <c r="A787" s="158">
        <v>3</v>
      </c>
      <c r="B787" s="171" t="s">
        <v>63</v>
      </c>
      <c r="C787" s="258" t="s">
        <v>190</v>
      </c>
      <c r="D787" s="259" t="s">
        <v>187</v>
      </c>
      <c r="E787" s="559" t="s">
        <v>62</v>
      </c>
      <c r="F787" s="260">
        <v>2017</v>
      </c>
      <c r="G787" s="260">
        <v>2021</v>
      </c>
      <c r="H787" s="175">
        <v>33497536</v>
      </c>
      <c r="I787" s="175">
        <v>3484036</v>
      </c>
      <c r="J787" s="175">
        <v>5013500</v>
      </c>
      <c r="K787" s="141"/>
      <c r="L787" s="175">
        <v>0</v>
      </c>
      <c r="M787" s="175">
        <v>0</v>
      </c>
      <c r="N787" s="175">
        <v>5013500</v>
      </c>
      <c r="O787" s="175">
        <v>0</v>
      </c>
      <c r="P787" s="140"/>
    </row>
    <row r="788" spans="1:16" s="31" customFormat="1" ht="38.25" customHeight="1">
      <c r="A788" s="158">
        <v>4</v>
      </c>
      <c r="B788" s="171" t="s">
        <v>63</v>
      </c>
      <c r="C788" s="258" t="s">
        <v>191</v>
      </c>
      <c r="D788" s="259" t="s">
        <v>187</v>
      </c>
      <c r="E788" s="559" t="s">
        <v>60</v>
      </c>
      <c r="F788" s="260">
        <v>2018</v>
      </c>
      <c r="G788" s="260">
        <v>2022</v>
      </c>
      <c r="H788" s="175">
        <v>110337874</v>
      </c>
      <c r="I788" s="175">
        <v>59147374</v>
      </c>
      <c r="J788" s="175">
        <v>36000000</v>
      </c>
      <c r="K788" s="141"/>
      <c r="L788" s="175">
        <f>36481000/2</f>
        <v>18240500</v>
      </c>
      <c r="M788" s="175">
        <f>32950000/2</f>
        <v>16475000</v>
      </c>
      <c r="N788" s="175">
        <f>2569000/2</f>
        <v>1284500</v>
      </c>
      <c r="O788" s="175">
        <v>0</v>
      </c>
      <c r="P788" s="140"/>
    </row>
    <row r="789" spans="1:16" s="31" customFormat="1" ht="38.25" customHeight="1" thickBot="1">
      <c r="A789" s="158">
        <v>5</v>
      </c>
      <c r="B789" s="171" t="s">
        <v>63</v>
      </c>
      <c r="C789" s="258" t="s">
        <v>161</v>
      </c>
      <c r="D789" s="259" t="s">
        <v>187</v>
      </c>
      <c r="E789" s="559" t="s">
        <v>193</v>
      </c>
      <c r="F789" s="260">
        <v>2021</v>
      </c>
      <c r="G789" s="260">
        <v>2021</v>
      </c>
      <c r="H789" s="175">
        <v>8000000</v>
      </c>
      <c r="I789" s="175">
        <v>0</v>
      </c>
      <c r="J789" s="175">
        <v>8000000</v>
      </c>
      <c r="K789" s="141"/>
      <c r="L789" s="175">
        <v>150000</v>
      </c>
      <c r="M789" s="175">
        <f>200000+500000+800000</f>
        <v>1500000</v>
      </c>
      <c r="N789" s="175">
        <f>1000000+1500000+2000000</f>
        <v>4500000</v>
      </c>
      <c r="O789" s="175">
        <f>750000+500000+600000</f>
        <v>1850000</v>
      </c>
      <c r="P789" s="140"/>
    </row>
    <row r="790" spans="1:16" s="33" customFormat="1" ht="30" customHeight="1" thickBot="1">
      <c r="A790" s="668" t="s">
        <v>20</v>
      </c>
      <c r="B790" s="669"/>
      <c r="C790" s="669"/>
      <c r="D790" s="669"/>
      <c r="E790" s="669"/>
      <c r="F790" s="669"/>
      <c r="G790" s="670"/>
      <c r="H790" s="220">
        <f t="shared" ref="H790:O790" si="62">SUM(H785:H789)</f>
        <v>201534963</v>
      </c>
      <c r="I790" s="220">
        <f t="shared" si="62"/>
        <v>81131807</v>
      </c>
      <c r="J790" s="220">
        <f t="shared" si="62"/>
        <v>72538700</v>
      </c>
      <c r="K790" s="220">
        <f t="shared" si="62"/>
        <v>0</v>
      </c>
      <c r="L790" s="220">
        <f t="shared" si="62"/>
        <v>18937500</v>
      </c>
      <c r="M790" s="220">
        <f t="shared" si="62"/>
        <v>37866200</v>
      </c>
      <c r="N790" s="220">
        <f t="shared" si="62"/>
        <v>12707000</v>
      </c>
      <c r="O790" s="220">
        <f t="shared" si="62"/>
        <v>3028000</v>
      </c>
      <c r="P790" s="120"/>
    </row>
    <row r="791" spans="1:16" s="9" customFormat="1" ht="19.5" customHeight="1" thickBot="1">
      <c r="A791" s="671"/>
      <c r="B791" s="672"/>
      <c r="C791" s="672"/>
      <c r="D791" s="672"/>
      <c r="E791" s="672"/>
      <c r="F791" s="672"/>
      <c r="G791" s="672"/>
      <c r="H791" s="672"/>
      <c r="I791" s="672"/>
      <c r="J791" s="672"/>
      <c r="K791" s="672"/>
      <c r="L791" s="672"/>
      <c r="M791" s="672"/>
      <c r="N791" s="672"/>
      <c r="O791" s="672"/>
      <c r="P791" s="673"/>
    </row>
    <row r="792" spans="1:16" ht="30" customHeight="1" thickBot="1">
      <c r="A792" s="662" t="s">
        <v>182</v>
      </c>
      <c r="B792" s="663"/>
      <c r="C792" s="663"/>
      <c r="D792" s="663"/>
      <c r="E792" s="663"/>
      <c r="F792" s="663"/>
      <c r="G792" s="663"/>
      <c r="H792" s="663"/>
      <c r="I792" s="663"/>
      <c r="J792" s="663"/>
      <c r="K792" s="663"/>
      <c r="L792" s="663"/>
      <c r="M792" s="663"/>
      <c r="N792" s="663"/>
      <c r="O792" s="663"/>
      <c r="P792" s="664"/>
    </row>
    <row r="793" spans="1:16" ht="30" customHeight="1" thickBot="1">
      <c r="A793" s="652" t="s">
        <v>162</v>
      </c>
      <c r="B793" s="653"/>
      <c r="C793" s="653"/>
      <c r="D793" s="653"/>
      <c r="E793" s="653"/>
      <c r="F793" s="560"/>
      <c r="G793" s="560"/>
      <c r="H793" s="556"/>
      <c r="I793" s="556"/>
      <c r="J793" s="556"/>
      <c r="K793" s="556"/>
      <c r="L793" s="556"/>
      <c r="M793" s="556"/>
      <c r="N793" s="556"/>
      <c r="O793" s="556"/>
      <c r="P793" s="115"/>
    </row>
    <row r="794" spans="1:16" s="31" customFormat="1" ht="33" customHeight="1">
      <c r="A794" s="171">
        <v>1</v>
      </c>
      <c r="B794" s="200" t="s">
        <v>36</v>
      </c>
      <c r="C794" s="190" t="s">
        <v>742</v>
      </c>
      <c r="D794" s="245" t="s">
        <v>23</v>
      </c>
      <c r="E794" s="152" t="s">
        <v>130</v>
      </c>
      <c r="F794" s="245">
        <v>2021</v>
      </c>
      <c r="G794" s="245">
        <v>2021</v>
      </c>
      <c r="H794" s="209">
        <v>250000</v>
      </c>
      <c r="I794" s="210">
        <v>0</v>
      </c>
      <c r="J794" s="210">
        <v>250000</v>
      </c>
      <c r="K794" s="152"/>
      <c r="L794" s="211">
        <v>0</v>
      </c>
      <c r="M794" s="211">
        <v>250000</v>
      </c>
      <c r="N794" s="212">
        <v>0</v>
      </c>
      <c r="O794" s="212">
        <v>0</v>
      </c>
      <c r="P794" s="153"/>
    </row>
    <row r="795" spans="1:16" s="31" customFormat="1" ht="63">
      <c r="A795" s="171">
        <v>2</v>
      </c>
      <c r="B795" s="200" t="s">
        <v>36</v>
      </c>
      <c r="C795" s="190" t="s">
        <v>743</v>
      </c>
      <c r="D795" s="245" t="s">
        <v>23</v>
      </c>
      <c r="E795" s="171" t="s">
        <v>744</v>
      </c>
      <c r="F795" s="245">
        <v>2020</v>
      </c>
      <c r="G795" s="245">
        <v>2022</v>
      </c>
      <c r="H795" s="209">
        <v>15000000</v>
      </c>
      <c r="I795" s="213">
        <v>4000000</v>
      </c>
      <c r="J795" s="213">
        <v>2000000</v>
      </c>
      <c r="K795" s="158"/>
      <c r="L795" s="214">
        <v>300000</v>
      </c>
      <c r="M795" s="214">
        <v>1000000</v>
      </c>
      <c r="N795" s="214">
        <v>700000</v>
      </c>
      <c r="O795" s="214">
        <v>0</v>
      </c>
      <c r="P795" s="157"/>
    </row>
    <row r="796" spans="1:16" s="31" customFormat="1" ht="31.5">
      <c r="A796" s="171">
        <v>3</v>
      </c>
      <c r="B796" s="200" t="s">
        <v>36</v>
      </c>
      <c r="C796" s="190" t="s">
        <v>745</v>
      </c>
      <c r="D796" s="245" t="s">
        <v>23</v>
      </c>
      <c r="E796" s="171" t="s">
        <v>143</v>
      </c>
      <c r="F796" s="245">
        <v>2020</v>
      </c>
      <c r="G796" s="245">
        <v>2022</v>
      </c>
      <c r="H796" s="209">
        <v>37502000</v>
      </c>
      <c r="I796" s="213">
        <v>7500000</v>
      </c>
      <c r="J796" s="213">
        <v>16231000</v>
      </c>
      <c r="K796" s="158"/>
      <c r="L796" s="214">
        <v>4590000</v>
      </c>
      <c r="M796" s="214">
        <v>3441000</v>
      </c>
      <c r="N796" s="214">
        <v>3969000</v>
      </c>
      <c r="O796" s="214">
        <v>4231000</v>
      </c>
      <c r="P796" s="157"/>
    </row>
    <row r="797" spans="1:16" s="31" customFormat="1" ht="36" customHeight="1">
      <c r="A797" s="171">
        <v>4</v>
      </c>
      <c r="B797" s="200" t="s">
        <v>36</v>
      </c>
      <c r="C797" s="215" t="s">
        <v>746</v>
      </c>
      <c r="D797" s="245" t="s">
        <v>23</v>
      </c>
      <c r="E797" s="171" t="s">
        <v>747</v>
      </c>
      <c r="F797" s="245">
        <v>2020</v>
      </c>
      <c r="G797" s="245">
        <v>2024</v>
      </c>
      <c r="H797" s="209">
        <v>94000000</v>
      </c>
      <c r="I797" s="213">
        <f>SUM(I798:I799)</f>
        <v>0</v>
      </c>
      <c r="J797" s="213">
        <f>SUM(J798:J799)</f>
        <v>28000000</v>
      </c>
      <c r="K797" s="158"/>
      <c r="L797" s="214">
        <f t="shared" ref="L797:O798" si="63">SUM(L798:L799)</f>
        <v>3360000</v>
      </c>
      <c r="M797" s="214">
        <f t="shared" si="63"/>
        <v>7290000</v>
      </c>
      <c r="N797" s="214">
        <f t="shared" si="63"/>
        <v>8400000</v>
      </c>
      <c r="O797" s="214">
        <f t="shared" si="63"/>
        <v>8950000</v>
      </c>
      <c r="P797" s="205"/>
    </row>
    <row r="798" spans="1:16" s="31" customFormat="1" ht="31.5">
      <c r="A798" s="171">
        <v>5</v>
      </c>
      <c r="B798" s="200" t="s">
        <v>36</v>
      </c>
      <c r="C798" s="216" t="s">
        <v>748</v>
      </c>
      <c r="D798" s="245" t="s">
        <v>23</v>
      </c>
      <c r="E798" s="171" t="s">
        <v>749</v>
      </c>
      <c r="F798" s="165">
        <v>2017</v>
      </c>
      <c r="G798" s="165">
        <v>2023</v>
      </c>
      <c r="H798" s="217">
        <v>46500000</v>
      </c>
      <c r="I798" s="169">
        <f>SUM(I799:I800)</f>
        <v>0</v>
      </c>
      <c r="J798" s="169">
        <f>SUM(J799:J800)</f>
        <v>18000000</v>
      </c>
      <c r="K798" s="158"/>
      <c r="L798" s="214">
        <f t="shared" si="63"/>
        <v>2160000</v>
      </c>
      <c r="M798" s="214">
        <f t="shared" si="63"/>
        <v>4686000</v>
      </c>
      <c r="N798" s="214">
        <f t="shared" si="63"/>
        <v>5400000</v>
      </c>
      <c r="O798" s="214">
        <f t="shared" si="63"/>
        <v>5754000</v>
      </c>
      <c r="P798" s="205"/>
    </row>
    <row r="799" spans="1:16" s="31" customFormat="1" ht="31.5">
      <c r="A799" s="171">
        <v>6</v>
      </c>
      <c r="B799" s="200" t="s">
        <v>36</v>
      </c>
      <c r="C799" s="216" t="s">
        <v>161</v>
      </c>
      <c r="D799" s="245" t="s">
        <v>23</v>
      </c>
      <c r="E799" s="171" t="s">
        <v>750</v>
      </c>
      <c r="F799" s="165">
        <v>2021</v>
      </c>
      <c r="G799" s="165">
        <v>2021</v>
      </c>
      <c r="H799" s="217">
        <v>10000000</v>
      </c>
      <c r="I799" s="213">
        <v>0</v>
      </c>
      <c r="J799" s="213">
        <v>10000000</v>
      </c>
      <c r="K799" s="158"/>
      <c r="L799" s="214">
        <v>1200000</v>
      </c>
      <c r="M799" s="214">
        <v>2604000</v>
      </c>
      <c r="N799" s="214">
        <v>3000000</v>
      </c>
      <c r="O799" s="214">
        <v>3196000</v>
      </c>
      <c r="P799" s="157"/>
    </row>
    <row r="800" spans="1:16" s="31" customFormat="1" ht="31.5">
      <c r="A800" s="171">
        <v>7</v>
      </c>
      <c r="B800" s="200" t="s">
        <v>36</v>
      </c>
      <c r="C800" s="190" t="s">
        <v>751</v>
      </c>
      <c r="D800" s="245" t="s">
        <v>23</v>
      </c>
      <c r="E800" s="171" t="s">
        <v>139</v>
      </c>
      <c r="F800" s="245">
        <v>2021</v>
      </c>
      <c r="G800" s="245">
        <v>2021</v>
      </c>
      <c r="H800" s="209">
        <v>8000000</v>
      </c>
      <c r="I800" s="213">
        <v>0</v>
      </c>
      <c r="J800" s="213">
        <v>8000000</v>
      </c>
      <c r="K800" s="158"/>
      <c r="L800" s="214">
        <v>960000</v>
      </c>
      <c r="M800" s="214">
        <v>2082000</v>
      </c>
      <c r="N800" s="214">
        <v>2400000</v>
      </c>
      <c r="O800" s="214">
        <v>2558000</v>
      </c>
      <c r="P800" s="157"/>
    </row>
    <row r="801" spans="1:16" s="31" customFormat="1" ht="49.5" customHeight="1">
      <c r="A801" s="171">
        <v>8</v>
      </c>
      <c r="B801" s="200" t="s">
        <v>36</v>
      </c>
      <c r="C801" s="190" t="s">
        <v>752</v>
      </c>
      <c r="D801" s="245" t="s">
        <v>23</v>
      </c>
      <c r="E801" s="171" t="s">
        <v>153</v>
      </c>
      <c r="F801" s="245">
        <v>2011</v>
      </c>
      <c r="G801" s="245">
        <v>2023</v>
      </c>
      <c r="H801" s="209">
        <v>30167000</v>
      </c>
      <c r="I801" s="213">
        <v>30150000</v>
      </c>
      <c r="J801" s="213">
        <v>5000</v>
      </c>
      <c r="K801" s="158"/>
      <c r="L801" s="214">
        <v>600</v>
      </c>
      <c r="M801" s="214">
        <v>1302</v>
      </c>
      <c r="N801" s="214">
        <v>1500</v>
      </c>
      <c r="O801" s="214">
        <v>1598</v>
      </c>
      <c r="P801" s="157"/>
    </row>
    <row r="802" spans="1:16" s="31" customFormat="1" ht="53.25" customHeight="1">
      <c r="A802" s="171">
        <v>9</v>
      </c>
      <c r="B802" s="200" t="s">
        <v>36</v>
      </c>
      <c r="C802" s="160" t="s">
        <v>753</v>
      </c>
      <c r="D802" s="165" t="s">
        <v>23</v>
      </c>
      <c r="E802" s="171" t="s">
        <v>153</v>
      </c>
      <c r="F802" s="165">
        <v>2013</v>
      </c>
      <c r="G802" s="165">
        <v>2023</v>
      </c>
      <c r="H802" s="217">
        <v>18801000</v>
      </c>
      <c r="I802" s="169">
        <v>5856000</v>
      </c>
      <c r="J802" s="169">
        <v>4595000</v>
      </c>
      <c r="K802" s="158"/>
      <c r="L802" s="214">
        <v>551400</v>
      </c>
      <c r="M802" s="214">
        <v>1195698</v>
      </c>
      <c r="N802" s="214">
        <v>1378500</v>
      </c>
      <c r="O802" s="214">
        <v>1469402</v>
      </c>
      <c r="P802" s="205"/>
    </row>
    <row r="803" spans="1:16" s="31" customFormat="1" ht="48.75" customHeight="1">
      <c r="A803" s="171">
        <v>10</v>
      </c>
      <c r="B803" s="200" t="s">
        <v>36</v>
      </c>
      <c r="C803" s="190" t="s">
        <v>754</v>
      </c>
      <c r="D803" s="245" t="s">
        <v>23</v>
      </c>
      <c r="E803" s="171" t="s">
        <v>755</v>
      </c>
      <c r="F803" s="245">
        <v>2021</v>
      </c>
      <c r="G803" s="245">
        <v>2021</v>
      </c>
      <c r="H803" s="209">
        <v>300000</v>
      </c>
      <c r="I803" s="213">
        <v>0</v>
      </c>
      <c r="J803" s="213">
        <v>300000</v>
      </c>
      <c r="K803" s="158"/>
      <c r="L803" s="214">
        <v>36000</v>
      </c>
      <c r="M803" s="214">
        <v>78000</v>
      </c>
      <c r="N803" s="214">
        <v>90000</v>
      </c>
      <c r="O803" s="214">
        <v>96000</v>
      </c>
      <c r="P803" s="205"/>
    </row>
    <row r="804" spans="1:16" s="31" customFormat="1" ht="44.25" customHeight="1">
      <c r="A804" s="171">
        <v>11</v>
      </c>
      <c r="B804" s="200" t="s">
        <v>36</v>
      </c>
      <c r="C804" s="190" t="s">
        <v>756</v>
      </c>
      <c r="D804" s="245" t="s">
        <v>23</v>
      </c>
      <c r="E804" s="152" t="s">
        <v>757</v>
      </c>
      <c r="F804" s="245">
        <v>2007</v>
      </c>
      <c r="G804" s="245">
        <v>2021</v>
      </c>
      <c r="H804" s="209">
        <v>35587000</v>
      </c>
      <c r="I804" s="213">
        <v>34587000</v>
      </c>
      <c r="J804" s="213">
        <f>SUM(J805:J806)</f>
        <v>1402000</v>
      </c>
      <c r="K804" s="158"/>
      <c r="L804" s="214">
        <v>0</v>
      </c>
      <c r="M804" s="214">
        <v>0</v>
      </c>
      <c r="N804" s="214">
        <v>1000000</v>
      </c>
      <c r="O804" s="214">
        <v>0</v>
      </c>
      <c r="P804" s="157"/>
    </row>
    <row r="805" spans="1:16" s="31" customFormat="1" ht="31.5">
      <c r="A805" s="171">
        <v>12</v>
      </c>
      <c r="B805" s="200" t="s">
        <v>36</v>
      </c>
      <c r="C805" s="190" t="s">
        <v>758</v>
      </c>
      <c r="D805" s="245" t="s">
        <v>23</v>
      </c>
      <c r="E805" s="152" t="s">
        <v>757</v>
      </c>
      <c r="F805" s="245">
        <v>2009</v>
      </c>
      <c r="G805" s="245">
        <v>2021</v>
      </c>
      <c r="H805" s="209">
        <v>88793000</v>
      </c>
      <c r="I805" s="213">
        <v>87093000</v>
      </c>
      <c r="J805" s="213">
        <f>SUM(J806:J807)</f>
        <v>702000</v>
      </c>
      <c r="K805" s="158"/>
      <c r="L805" s="214">
        <v>0</v>
      </c>
      <c r="M805" s="214">
        <v>0</v>
      </c>
      <c r="N805" s="214">
        <v>1700000</v>
      </c>
      <c r="O805" s="144"/>
      <c r="P805" s="157"/>
    </row>
    <row r="806" spans="1:16" s="31" customFormat="1" ht="33.75" customHeight="1">
      <c r="A806" s="171">
        <v>13</v>
      </c>
      <c r="B806" s="200" t="s">
        <v>36</v>
      </c>
      <c r="C806" s="190" t="s">
        <v>759</v>
      </c>
      <c r="D806" s="245" t="s">
        <v>23</v>
      </c>
      <c r="E806" s="152" t="s">
        <v>144</v>
      </c>
      <c r="F806" s="245">
        <v>2010</v>
      </c>
      <c r="G806" s="245">
        <v>2021</v>
      </c>
      <c r="H806" s="209">
        <v>13582000</v>
      </c>
      <c r="I806" s="213">
        <v>12882000</v>
      </c>
      <c r="J806" s="213">
        <v>700000</v>
      </c>
      <c r="K806" s="158"/>
      <c r="L806" s="214">
        <v>0</v>
      </c>
      <c r="M806" s="214">
        <v>0</v>
      </c>
      <c r="N806" s="214">
        <v>700000</v>
      </c>
      <c r="O806" s="214">
        <v>0</v>
      </c>
      <c r="P806" s="157"/>
    </row>
    <row r="807" spans="1:16" s="31" customFormat="1" ht="33.75" customHeight="1">
      <c r="A807" s="171">
        <v>14</v>
      </c>
      <c r="B807" s="200" t="s">
        <v>36</v>
      </c>
      <c r="C807" s="190" t="s">
        <v>760</v>
      </c>
      <c r="D807" s="245" t="s">
        <v>23</v>
      </c>
      <c r="E807" s="152" t="s">
        <v>144</v>
      </c>
      <c r="F807" s="245">
        <v>2012</v>
      </c>
      <c r="G807" s="245">
        <v>2021</v>
      </c>
      <c r="H807" s="209">
        <v>2341000</v>
      </c>
      <c r="I807" s="213">
        <v>2339000</v>
      </c>
      <c r="J807" s="213">
        <v>2000</v>
      </c>
      <c r="K807" s="158"/>
      <c r="L807" s="214">
        <v>0</v>
      </c>
      <c r="M807" s="214">
        <v>0</v>
      </c>
      <c r="N807" s="214">
        <v>2000</v>
      </c>
      <c r="O807" s="214">
        <v>0</v>
      </c>
      <c r="P807" s="205"/>
    </row>
    <row r="808" spans="1:16" s="31" customFormat="1" ht="31.5">
      <c r="A808" s="171">
        <v>15</v>
      </c>
      <c r="B808" s="200" t="s">
        <v>36</v>
      </c>
      <c r="C808" s="190" t="s">
        <v>761</v>
      </c>
      <c r="D808" s="245" t="s">
        <v>23</v>
      </c>
      <c r="E808" s="152" t="s">
        <v>757</v>
      </c>
      <c r="F808" s="245">
        <v>2021</v>
      </c>
      <c r="G808" s="245">
        <v>2021</v>
      </c>
      <c r="H808" s="209">
        <v>458000</v>
      </c>
      <c r="I808" s="213">
        <v>0</v>
      </c>
      <c r="J808" s="213">
        <v>458000</v>
      </c>
      <c r="K808" s="158"/>
      <c r="L808" s="214">
        <v>0</v>
      </c>
      <c r="M808" s="214">
        <v>0</v>
      </c>
      <c r="N808" s="214">
        <v>458000</v>
      </c>
      <c r="O808" s="214">
        <v>0</v>
      </c>
      <c r="P808" s="205"/>
    </row>
    <row r="809" spans="1:16" s="31" customFormat="1" ht="47.25" customHeight="1">
      <c r="A809" s="171">
        <v>16</v>
      </c>
      <c r="B809" s="200" t="s">
        <v>25</v>
      </c>
      <c r="C809" s="190" t="s">
        <v>762</v>
      </c>
      <c r="D809" s="245" t="s">
        <v>23</v>
      </c>
      <c r="E809" s="152" t="s">
        <v>757</v>
      </c>
      <c r="F809" s="245">
        <v>2016</v>
      </c>
      <c r="G809" s="245">
        <v>2021</v>
      </c>
      <c r="H809" s="209">
        <v>28689000</v>
      </c>
      <c r="I809" s="213">
        <v>26349000</v>
      </c>
      <c r="J809" s="213">
        <v>2340000</v>
      </c>
      <c r="K809" s="158"/>
      <c r="L809" s="214">
        <v>0</v>
      </c>
      <c r="M809" s="214">
        <v>0</v>
      </c>
      <c r="N809" s="214">
        <v>2340000</v>
      </c>
      <c r="O809" s="214">
        <v>0</v>
      </c>
      <c r="P809" s="205"/>
    </row>
    <row r="810" spans="1:16" s="31" customFormat="1" ht="41.25" customHeight="1">
      <c r="A810" s="171">
        <v>17</v>
      </c>
      <c r="B810" s="200" t="s">
        <v>25</v>
      </c>
      <c r="C810" s="190" t="s">
        <v>763</v>
      </c>
      <c r="D810" s="245" t="s">
        <v>23</v>
      </c>
      <c r="E810" s="158" t="s">
        <v>145</v>
      </c>
      <c r="F810" s="245">
        <v>2021</v>
      </c>
      <c r="G810" s="245">
        <v>2021</v>
      </c>
      <c r="H810" s="209">
        <v>1501000</v>
      </c>
      <c r="I810" s="210">
        <v>0</v>
      </c>
      <c r="J810" s="210">
        <v>1501000</v>
      </c>
      <c r="K810" s="158"/>
      <c r="L810" s="214">
        <v>0</v>
      </c>
      <c r="M810" s="214">
        <v>0</v>
      </c>
      <c r="N810" s="214">
        <v>1501000</v>
      </c>
      <c r="O810" s="214">
        <v>0</v>
      </c>
      <c r="P810" s="205"/>
    </row>
    <row r="811" spans="1:16" s="31" customFormat="1" ht="31.5">
      <c r="A811" s="171">
        <v>18</v>
      </c>
      <c r="B811" s="200" t="s">
        <v>25</v>
      </c>
      <c r="C811" s="218" t="s">
        <v>764</v>
      </c>
      <c r="D811" s="245" t="s">
        <v>23</v>
      </c>
      <c r="E811" s="152" t="s">
        <v>757</v>
      </c>
      <c r="F811" s="245">
        <v>2019</v>
      </c>
      <c r="G811" s="245">
        <v>2022</v>
      </c>
      <c r="H811" s="209">
        <v>12534000</v>
      </c>
      <c r="I811" s="213">
        <v>0</v>
      </c>
      <c r="J811" s="213">
        <v>10500000</v>
      </c>
      <c r="K811" s="158"/>
      <c r="L811" s="214">
        <v>0</v>
      </c>
      <c r="M811" s="214">
        <v>0</v>
      </c>
      <c r="N811" s="214">
        <v>10500000</v>
      </c>
      <c r="O811" s="214">
        <v>0</v>
      </c>
      <c r="P811" s="205"/>
    </row>
    <row r="812" spans="1:16" s="31" customFormat="1" ht="47.25">
      <c r="A812" s="171">
        <v>19</v>
      </c>
      <c r="B812" s="200" t="s">
        <v>25</v>
      </c>
      <c r="C812" s="190" t="s">
        <v>765</v>
      </c>
      <c r="D812" s="245" t="s">
        <v>23</v>
      </c>
      <c r="E812" s="152" t="s">
        <v>766</v>
      </c>
      <c r="F812" s="245">
        <v>2021</v>
      </c>
      <c r="G812" s="245">
        <v>2021</v>
      </c>
      <c r="H812" s="209">
        <v>2000000</v>
      </c>
      <c r="I812" s="213">
        <v>0</v>
      </c>
      <c r="J812" s="213">
        <v>2000000</v>
      </c>
      <c r="K812" s="158"/>
      <c r="L812" s="214">
        <v>240928</v>
      </c>
      <c r="M812" s="214">
        <v>522015</v>
      </c>
      <c r="N812" s="214">
        <v>601563</v>
      </c>
      <c r="O812" s="214">
        <v>635494</v>
      </c>
      <c r="P812" s="205"/>
    </row>
    <row r="813" spans="1:16" s="31" customFormat="1" ht="57" customHeight="1">
      <c r="A813" s="171">
        <v>20</v>
      </c>
      <c r="B813" s="200" t="s">
        <v>25</v>
      </c>
      <c r="C813" s="190" t="s">
        <v>767</v>
      </c>
      <c r="D813" s="245" t="s">
        <v>23</v>
      </c>
      <c r="E813" s="152" t="s">
        <v>768</v>
      </c>
      <c r="F813" s="245">
        <v>2010</v>
      </c>
      <c r="G813" s="245">
        <v>2023</v>
      </c>
      <c r="H813" s="209">
        <v>16437000</v>
      </c>
      <c r="I813" s="213">
        <v>11727000</v>
      </c>
      <c r="J813" s="213">
        <v>1500000</v>
      </c>
      <c r="K813" s="158"/>
      <c r="L813" s="214">
        <v>180511</v>
      </c>
      <c r="M813" s="214">
        <v>391567</v>
      </c>
      <c r="N813" s="214">
        <v>450567</v>
      </c>
      <c r="O813" s="214">
        <v>477355</v>
      </c>
      <c r="P813" s="205"/>
    </row>
    <row r="814" spans="1:16" s="31" customFormat="1" ht="61.5" customHeight="1">
      <c r="A814" s="171">
        <v>21</v>
      </c>
      <c r="B814" s="200" t="s">
        <v>25</v>
      </c>
      <c r="C814" s="190" t="s">
        <v>769</v>
      </c>
      <c r="D814" s="245" t="s">
        <v>23</v>
      </c>
      <c r="E814" s="152" t="s">
        <v>770</v>
      </c>
      <c r="F814" s="245">
        <v>2016</v>
      </c>
      <c r="G814" s="245">
        <v>2023</v>
      </c>
      <c r="H814" s="209">
        <v>10065000</v>
      </c>
      <c r="I814" s="210">
        <v>5935000</v>
      </c>
      <c r="J814" s="210">
        <v>1200000</v>
      </c>
      <c r="K814" s="158"/>
      <c r="L814" s="214">
        <v>144345</v>
      </c>
      <c r="M814" s="214">
        <v>313066</v>
      </c>
      <c r="N814" s="214">
        <v>360764</v>
      </c>
      <c r="O814" s="214">
        <v>381825</v>
      </c>
      <c r="P814" s="205"/>
    </row>
    <row r="815" spans="1:16" s="31" customFormat="1" ht="44.25" customHeight="1" thickBot="1">
      <c r="A815" s="171">
        <v>22</v>
      </c>
      <c r="B815" s="200" t="s">
        <v>25</v>
      </c>
      <c r="C815" s="190" t="s">
        <v>771</v>
      </c>
      <c r="D815" s="245" t="s">
        <v>23</v>
      </c>
      <c r="E815" s="152" t="s">
        <v>772</v>
      </c>
      <c r="F815" s="245">
        <v>2020</v>
      </c>
      <c r="G815" s="245">
        <v>2022</v>
      </c>
      <c r="H815" s="209">
        <v>825000</v>
      </c>
      <c r="I815" s="210">
        <v>272000</v>
      </c>
      <c r="J815" s="210">
        <v>300000</v>
      </c>
      <c r="K815" s="158"/>
      <c r="L815" s="214">
        <v>36216</v>
      </c>
      <c r="M815" s="214">
        <v>78352</v>
      </c>
      <c r="N815" s="214">
        <v>90106</v>
      </c>
      <c r="O815" s="214">
        <v>95326</v>
      </c>
      <c r="P815" s="205"/>
    </row>
    <row r="816" spans="1:16" s="31" customFormat="1" ht="30" customHeight="1" thickBot="1">
      <c r="A816" s="668" t="s">
        <v>20</v>
      </c>
      <c r="B816" s="669"/>
      <c r="C816" s="669"/>
      <c r="D816" s="669"/>
      <c r="E816" s="669"/>
      <c r="F816" s="669"/>
      <c r="G816" s="670"/>
      <c r="H816" s="220">
        <f t="shared" ref="H816:O816" si="64">SUM(H794:H815)</f>
        <v>473332000</v>
      </c>
      <c r="I816" s="220">
        <f t="shared" si="64"/>
        <v>228690000</v>
      </c>
      <c r="J816" s="220">
        <f t="shared" si="64"/>
        <v>109986000</v>
      </c>
      <c r="K816" s="220">
        <f t="shared" si="64"/>
        <v>0</v>
      </c>
      <c r="L816" s="220">
        <f t="shared" si="64"/>
        <v>13760000</v>
      </c>
      <c r="M816" s="220">
        <f t="shared" si="64"/>
        <v>23933000</v>
      </c>
      <c r="N816" s="220">
        <f t="shared" si="64"/>
        <v>45043000</v>
      </c>
      <c r="O816" s="220">
        <f t="shared" si="64"/>
        <v>27846000</v>
      </c>
      <c r="P816" s="118"/>
    </row>
    <row r="817" spans="1:16" ht="21" customHeight="1" thickBot="1">
      <c r="A817" s="671"/>
      <c r="B817" s="672"/>
      <c r="C817" s="672"/>
      <c r="D817" s="672"/>
      <c r="E817" s="672"/>
      <c r="F817" s="672"/>
      <c r="G817" s="672"/>
      <c r="H817" s="672"/>
      <c r="I817" s="672"/>
      <c r="J817" s="672"/>
      <c r="K817" s="672"/>
      <c r="L817" s="672"/>
      <c r="M817" s="672"/>
      <c r="N817" s="672"/>
      <c r="O817" s="672"/>
      <c r="P817" s="673"/>
    </row>
    <row r="818" spans="1:16" ht="30" customHeight="1">
      <c r="A818" s="655" t="s">
        <v>146</v>
      </c>
      <c r="B818" s="656"/>
      <c r="C818" s="656"/>
      <c r="D818" s="656"/>
      <c r="E818" s="656"/>
      <c r="F818" s="656"/>
      <c r="G818" s="656"/>
      <c r="H818" s="656"/>
      <c r="I818" s="656"/>
      <c r="J818" s="656"/>
      <c r="K818" s="656"/>
      <c r="L818" s="656"/>
      <c r="M818" s="656"/>
      <c r="N818" s="656"/>
      <c r="O818" s="656"/>
      <c r="P818" s="657"/>
    </row>
    <row r="819" spans="1:16" s="101" customFormat="1" ht="42.75" customHeight="1">
      <c r="A819" s="158">
        <v>1</v>
      </c>
      <c r="B819" s="158" t="s">
        <v>36</v>
      </c>
      <c r="C819" s="278" t="s">
        <v>137</v>
      </c>
      <c r="D819" s="279" t="s">
        <v>187</v>
      </c>
      <c r="E819" s="561" t="s">
        <v>147</v>
      </c>
      <c r="F819" s="279">
        <v>2021</v>
      </c>
      <c r="G819" s="279">
        <v>2021</v>
      </c>
      <c r="H819" s="281">
        <v>1250000</v>
      </c>
      <c r="I819" s="281">
        <v>0</v>
      </c>
      <c r="J819" s="281">
        <v>1000000</v>
      </c>
      <c r="K819" s="281">
        <v>1250000</v>
      </c>
      <c r="L819" s="281">
        <v>370018</v>
      </c>
      <c r="M819" s="281">
        <v>260004</v>
      </c>
      <c r="N819" s="281">
        <v>300006</v>
      </c>
      <c r="O819" s="281">
        <v>319972</v>
      </c>
      <c r="P819" s="171"/>
    </row>
    <row r="820" spans="1:16" s="101" customFormat="1" ht="210">
      <c r="A820" s="158">
        <v>2</v>
      </c>
      <c r="B820" s="200" t="s">
        <v>36</v>
      </c>
      <c r="C820" s="282" t="s">
        <v>323</v>
      </c>
      <c r="D820" s="279" t="s">
        <v>187</v>
      </c>
      <c r="E820" s="561" t="s">
        <v>332</v>
      </c>
      <c r="F820" s="279">
        <v>2006</v>
      </c>
      <c r="G820" s="279">
        <v>2023</v>
      </c>
      <c r="H820" s="283">
        <v>344354000</v>
      </c>
      <c r="I820" s="283">
        <v>124982000</v>
      </c>
      <c r="J820" s="283">
        <v>82536000</v>
      </c>
      <c r="K820" s="283">
        <v>91536000</v>
      </c>
      <c r="L820" s="283">
        <v>18905728</v>
      </c>
      <c r="M820" s="283">
        <v>21459477</v>
      </c>
      <c r="N820" s="283">
        <v>24761391</v>
      </c>
      <c r="O820" s="283">
        <v>26409404</v>
      </c>
      <c r="P820" s="171"/>
    </row>
    <row r="821" spans="1:16" s="101" customFormat="1" ht="75">
      <c r="A821" s="158">
        <v>3</v>
      </c>
      <c r="B821" s="200" t="s">
        <v>36</v>
      </c>
      <c r="C821" s="280" t="s">
        <v>133</v>
      </c>
      <c r="D821" s="279" t="s">
        <v>187</v>
      </c>
      <c r="E821" s="561" t="s">
        <v>149</v>
      </c>
      <c r="F821" s="279">
        <v>2020</v>
      </c>
      <c r="G821" s="279">
        <v>2023</v>
      </c>
      <c r="H821" s="283">
        <v>7000000</v>
      </c>
      <c r="I821" s="283">
        <v>1500000</v>
      </c>
      <c r="J821" s="283">
        <v>1250000</v>
      </c>
      <c r="K821" s="283">
        <v>1687000</v>
      </c>
      <c r="L821" s="283">
        <v>587012</v>
      </c>
      <c r="M821" s="283">
        <v>327000</v>
      </c>
      <c r="N821" s="283">
        <v>375003</v>
      </c>
      <c r="O821" s="283">
        <v>397985</v>
      </c>
      <c r="P821" s="171"/>
    </row>
    <row r="822" spans="1:16" s="101" customFormat="1" ht="30">
      <c r="A822" s="158">
        <v>4</v>
      </c>
      <c r="B822" s="200" t="s">
        <v>36</v>
      </c>
      <c r="C822" s="278" t="s">
        <v>148</v>
      </c>
      <c r="D822" s="279" t="s">
        <v>187</v>
      </c>
      <c r="E822" s="562" t="s">
        <v>143</v>
      </c>
      <c r="F822" s="279">
        <v>2020</v>
      </c>
      <c r="G822" s="279">
        <v>2022</v>
      </c>
      <c r="H822" s="283">
        <v>32000000</v>
      </c>
      <c r="I822" s="283">
        <v>5095000</v>
      </c>
      <c r="J822" s="283">
        <v>23000000</v>
      </c>
      <c r="K822" s="283">
        <v>23960000</v>
      </c>
      <c r="L822" s="283">
        <v>3760058</v>
      </c>
      <c r="M822" s="283">
        <v>5900369</v>
      </c>
      <c r="N822" s="283">
        <v>6800148</v>
      </c>
      <c r="O822" s="283">
        <v>7499425</v>
      </c>
      <c r="P822" s="171"/>
    </row>
    <row r="823" spans="1:16" s="101" customFormat="1" ht="45">
      <c r="A823" s="158">
        <v>5</v>
      </c>
      <c r="B823" s="200" t="s">
        <v>36</v>
      </c>
      <c r="C823" s="282" t="s">
        <v>35</v>
      </c>
      <c r="D823" s="279" t="s">
        <v>187</v>
      </c>
      <c r="E823" s="561" t="s">
        <v>333</v>
      </c>
      <c r="F823" s="279">
        <v>2021</v>
      </c>
      <c r="G823" s="279">
        <v>2021</v>
      </c>
      <c r="H823" s="281">
        <v>9504000</v>
      </c>
      <c r="I823" s="281">
        <v>0</v>
      </c>
      <c r="J823" s="281">
        <v>7112000</v>
      </c>
      <c r="K823" s="281">
        <v>9504000</v>
      </c>
      <c r="L823" s="281">
        <v>3248000</v>
      </c>
      <c r="M823" s="281">
        <v>1851000</v>
      </c>
      <c r="N823" s="281">
        <v>2136000</v>
      </c>
      <c r="O823" s="281">
        <v>2269000</v>
      </c>
      <c r="P823" s="171"/>
    </row>
    <row r="824" spans="1:16" s="101" customFormat="1" ht="48" customHeight="1">
      <c r="A824" s="158">
        <v>6</v>
      </c>
      <c r="B824" s="200" t="s">
        <v>36</v>
      </c>
      <c r="C824" s="284" t="s">
        <v>134</v>
      </c>
      <c r="D824" s="279" t="s">
        <v>187</v>
      </c>
      <c r="E824" s="561" t="s">
        <v>150</v>
      </c>
      <c r="F824" s="279">
        <v>2021</v>
      </c>
      <c r="G824" s="279">
        <v>2021</v>
      </c>
      <c r="H824" s="281">
        <v>6000000</v>
      </c>
      <c r="I824" s="281">
        <v>0</v>
      </c>
      <c r="J824" s="281">
        <v>6000000</v>
      </c>
      <c r="K824" s="281">
        <v>6000000</v>
      </c>
      <c r="L824" s="281">
        <v>720000</v>
      </c>
      <c r="M824" s="281">
        <v>1560000</v>
      </c>
      <c r="N824" s="281">
        <v>1800000</v>
      </c>
      <c r="O824" s="281">
        <v>1920000</v>
      </c>
      <c r="P824" s="171"/>
    </row>
    <row r="825" spans="1:16" s="101" customFormat="1" ht="48" customHeight="1">
      <c r="A825" s="158">
        <v>7</v>
      </c>
      <c r="B825" s="279" t="s">
        <v>56</v>
      </c>
      <c r="C825" s="285" t="s">
        <v>324</v>
      </c>
      <c r="D825" s="279" t="s">
        <v>187</v>
      </c>
      <c r="E825" s="562" t="s">
        <v>65</v>
      </c>
      <c r="F825" s="279">
        <v>2020</v>
      </c>
      <c r="G825" s="279">
        <v>2021</v>
      </c>
      <c r="H825" s="281">
        <v>24000000</v>
      </c>
      <c r="I825" s="281">
        <v>12000000</v>
      </c>
      <c r="J825" s="286" t="s">
        <v>340</v>
      </c>
      <c r="K825" s="287"/>
      <c r="L825" s="281">
        <v>3000000</v>
      </c>
      <c r="M825" s="281">
        <v>3000000</v>
      </c>
      <c r="N825" s="281">
        <v>3000000</v>
      </c>
      <c r="O825" s="281">
        <v>3000000</v>
      </c>
      <c r="P825" s="171"/>
    </row>
    <row r="826" spans="1:16" s="101" customFormat="1" ht="48" customHeight="1">
      <c r="A826" s="158">
        <v>8</v>
      </c>
      <c r="B826" s="279" t="s">
        <v>56</v>
      </c>
      <c r="C826" s="285" t="s">
        <v>325</v>
      </c>
      <c r="D826" s="279" t="s">
        <v>187</v>
      </c>
      <c r="E826" s="562" t="s">
        <v>334</v>
      </c>
      <c r="F826" s="279">
        <v>2020</v>
      </c>
      <c r="G826" s="279">
        <v>2024</v>
      </c>
      <c r="H826" s="288">
        <v>305000000</v>
      </c>
      <c r="I826" s="288">
        <v>0</v>
      </c>
      <c r="J826" s="281">
        <v>45000000</v>
      </c>
      <c r="K826" s="281">
        <v>45000000</v>
      </c>
      <c r="L826" s="281">
        <v>5400000</v>
      </c>
      <c r="M826" s="281">
        <v>11700000</v>
      </c>
      <c r="N826" s="281">
        <v>13500000</v>
      </c>
      <c r="O826" s="281">
        <v>14400000</v>
      </c>
      <c r="P826" s="171"/>
    </row>
    <row r="827" spans="1:16" s="101" customFormat="1" ht="48" customHeight="1">
      <c r="A827" s="158">
        <v>9</v>
      </c>
      <c r="B827" s="279" t="s">
        <v>56</v>
      </c>
      <c r="C827" s="285" t="s">
        <v>326</v>
      </c>
      <c r="D827" s="279" t="s">
        <v>187</v>
      </c>
      <c r="E827" s="561" t="s">
        <v>151</v>
      </c>
      <c r="F827" s="279">
        <v>2021</v>
      </c>
      <c r="G827" s="279">
        <v>2021</v>
      </c>
      <c r="H827" s="281">
        <v>123300000</v>
      </c>
      <c r="I827" s="281">
        <v>0</v>
      </c>
      <c r="J827" s="281">
        <v>92900000</v>
      </c>
      <c r="K827" s="281">
        <v>123300000</v>
      </c>
      <c r="L827" s="281">
        <v>45420000</v>
      </c>
      <c r="M827" s="281">
        <v>23013000</v>
      </c>
      <c r="N827" s="281">
        <v>26550000</v>
      </c>
      <c r="O827" s="281">
        <v>28317000</v>
      </c>
      <c r="P827" s="171"/>
    </row>
    <row r="828" spans="1:16" s="101" customFormat="1" ht="57" customHeight="1">
      <c r="A828" s="158">
        <v>10</v>
      </c>
      <c r="B828" s="279" t="s">
        <v>56</v>
      </c>
      <c r="C828" s="285" t="s">
        <v>327</v>
      </c>
      <c r="D828" s="279" t="s">
        <v>187</v>
      </c>
      <c r="E828" s="561" t="s">
        <v>335</v>
      </c>
      <c r="F828" s="279">
        <v>2021</v>
      </c>
      <c r="G828" s="279">
        <v>2025</v>
      </c>
      <c r="H828" s="281">
        <v>2266331000</v>
      </c>
      <c r="I828" s="281">
        <v>0</v>
      </c>
      <c r="J828" s="289">
        <v>500000000</v>
      </c>
      <c r="K828" s="281"/>
      <c r="L828" s="281">
        <v>125000000</v>
      </c>
      <c r="M828" s="281">
        <v>125000000</v>
      </c>
      <c r="N828" s="281">
        <v>125000000</v>
      </c>
      <c r="O828" s="281">
        <v>125000000</v>
      </c>
      <c r="P828" s="171"/>
    </row>
    <row r="829" spans="1:16" s="101" customFormat="1" ht="52.5" customHeight="1">
      <c r="A829" s="158">
        <v>11</v>
      </c>
      <c r="B829" s="279" t="s">
        <v>36</v>
      </c>
      <c r="C829" s="285" t="s">
        <v>154</v>
      </c>
      <c r="D829" s="279" t="s">
        <v>187</v>
      </c>
      <c r="E829" s="561" t="s">
        <v>336</v>
      </c>
      <c r="F829" s="279">
        <v>2016</v>
      </c>
      <c r="G829" s="279">
        <v>2023</v>
      </c>
      <c r="H829" s="281">
        <v>25000000</v>
      </c>
      <c r="I829" s="281">
        <v>7522000</v>
      </c>
      <c r="J829" s="281">
        <v>4000000</v>
      </c>
      <c r="K829" s="281">
        <v>4000000</v>
      </c>
      <c r="L829" s="281">
        <v>2000000</v>
      </c>
      <c r="M829" s="281">
        <v>2000000</v>
      </c>
      <c r="N829" s="281">
        <v>0</v>
      </c>
      <c r="O829" s="281">
        <v>0</v>
      </c>
      <c r="P829" s="171"/>
    </row>
    <row r="830" spans="1:16" s="101" customFormat="1" ht="22.5" customHeight="1">
      <c r="A830" s="158">
        <v>12</v>
      </c>
      <c r="B830" s="279" t="s">
        <v>36</v>
      </c>
      <c r="C830" s="285" t="s">
        <v>155</v>
      </c>
      <c r="D830" s="279" t="s">
        <v>187</v>
      </c>
      <c r="E830" s="561" t="s">
        <v>153</v>
      </c>
      <c r="F830" s="279">
        <v>2017</v>
      </c>
      <c r="G830" s="279">
        <v>2023</v>
      </c>
      <c r="H830" s="281">
        <v>253691000</v>
      </c>
      <c r="I830" s="281">
        <v>85063000</v>
      </c>
      <c r="J830" s="281">
        <v>56500000</v>
      </c>
      <c r="K830" s="281">
        <v>56500000</v>
      </c>
      <c r="L830" s="281">
        <v>6780146</v>
      </c>
      <c r="M830" s="281">
        <v>14690928</v>
      </c>
      <c r="N830" s="281">
        <v>16950366</v>
      </c>
      <c r="O830" s="281">
        <v>18078560</v>
      </c>
      <c r="P830" s="171"/>
    </row>
    <row r="831" spans="1:16" s="101" customFormat="1" ht="22.5" customHeight="1">
      <c r="A831" s="158">
        <v>13</v>
      </c>
      <c r="B831" s="279" t="s">
        <v>36</v>
      </c>
      <c r="C831" s="285" t="s">
        <v>328</v>
      </c>
      <c r="D831" s="279" t="s">
        <v>187</v>
      </c>
      <c r="E831" s="561" t="s">
        <v>153</v>
      </c>
      <c r="F831" s="279">
        <v>2019</v>
      </c>
      <c r="G831" s="279">
        <v>2023</v>
      </c>
      <c r="H831" s="281">
        <v>41557000</v>
      </c>
      <c r="I831" s="281">
        <v>11557000</v>
      </c>
      <c r="J831" s="281">
        <v>8000000</v>
      </c>
      <c r="K831" s="281">
        <v>8000000</v>
      </c>
      <c r="L831" s="281">
        <v>960020</v>
      </c>
      <c r="M831" s="281">
        <v>2080131</v>
      </c>
      <c r="N831" s="281">
        <v>2400051</v>
      </c>
      <c r="O831" s="281">
        <v>2559798</v>
      </c>
      <c r="P831" s="171"/>
    </row>
    <row r="832" spans="1:16" s="101" customFormat="1" ht="30">
      <c r="A832" s="158">
        <v>14</v>
      </c>
      <c r="B832" s="200" t="s">
        <v>36</v>
      </c>
      <c r="C832" s="285" t="s">
        <v>141</v>
      </c>
      <c r="D832" s="279" t="s">
        <v>187</v>
      </c>
      <c r="E832" s="561" t="s">
        <v>337</v>
      </c>
      <c r="F832" s="279">
        <v>2021</v>
      </c>
      <c r="G832" s="279">
        <v>2021</v>
      </c>
      <c r="H832" s="281">
        <v>5000000</v>
      </c>
      <c r="I832" s="281">
        <v>0</v>
      </c>
      <c r="J832" s="281">
        <v>5000000</v>
      </c>
      <c r="K832" s="281">
        <v>5000000</v>
      </c>
      <c r="L832" s="281">
        <v>600015</v>
      </c>
      <c r="M832" s="281">
        <v>1300083</v>
      </c>
      <c r="N832" s="281">
        <v>1500032</v>
      </c>
      <c r="O832" s="281">
        <v>1599870</v>
      </c>
      <c r="P832" s="171"/>
    </row>
    <row r="833" spans="1:16" s="101" customFormat="1" ht="45">
      <c r="A833" s="158">
        <v>15</v>
      </c>
      <c r="B833" s="200" t="s">
        <v>25</v>
      </c>
      <c r="C833" s="285" t="s">
        <v>152</v>
      </c>
      <c r="D833" s="279" t="s">
        <v>187</v>
      </c>
      <c r="E833" s="561" t="s">
        <v>338</v>
      </c>
      <c r="F833" s="279">
        <v>2016</v>
      </c>
      <c r="G833" s="279">
        <v>2021</v>
      </c>
      <c r="H833" s="281">
        <v>4832000</v>
      </c>
      <c r="I833" s="281">
        <v>4732000</v>
      </c>
      <c r="J833" s="281">
        <v>100000</v>
      </c>
      <c r="K833" s="281">
        <v>100000</v>
      </c>
      <c r="L833" s="281">
        <v>50183</v>
      </c>
      <c r="M833" s="281">
        <v>49817</v>
      </c>
      <c r="N833" s="281">
        <v>0</v>
      </c>
      <c r="O833" s="281">
        <v>0</v>
      </c>
      <c r="P833" s="171"/>
    </row>
    <row r="834" spans="1:16" s="101" customFormat="1" ht="45">
      <c r="A834" s="158">
        <v>16</v>
      </c>
      <c r="B834" s="200" t="s">
        <v>25</v>
      </c>
      <c r="C834" s="285" t="s">
        <v>329</v>
      </c>
      <c r="D834" s="279" t="s">
        <v>187</v>
      </c>
      <c r="E834" s="561" t="s">
        <v>339</v>
      </c>
      <c r="F834" s="279">
        <v>2019</v>
      </c>
      <c r="G834" s="279">
        <v>2022</v>
      </c>
      <c r="H834" s="281">
        <v>17694000</v>
      </c>
      <c r="I834" s="281">
        <v>8506000</v>
      </c>
      <c r="J834" s="281">
        <v>5000000</v>
      </c>
      <c r="K834" s="281">
        <v>5000000</v>
      </c>
      <c r="L834" s="281">
        <v>2500362</v>
      </c>
      <c r="M834" s="281">
        <v>2499638</v>
      </c>
      <c r="N834" s="281">
        <v>0</v>
      </c>
      <c r="O834" s="281">
        <v>0</v>
      </c>
      <c r="P834" s="171"/>
    </row>
    <row r="835" spans="1:16" s="101" customFormat="1" ht="20.25" customHeight="1">
      <c r="A835" s="158">
        <v>17</v>
      </c>
      <c r="B835" s="200" t="s">
        <v>25</v>
      </c>
      <c r="C835" s="285" t="s">
        <v>330</v>
      </c>
      <c r="D835" s="279" t="s">
        <v>187</v>
      </c>
      <c r="E835" s="561" t="s">
        <v>145</v>
      </c>
      <c r="F835" s="279">
        <v>2021</v>
      </c>
      <c r="G835" s="279">
        <v>2021</v>
      </c>
      <c r="H835" s="281">
        <v>10060000</v>
      </c>
      <c r="I835" s="281">
        <v>0</v>
      </c>
      <c r="J835" s="281">
        <v>10060000</v>
      </c>
      <c r="K835" s="281">
        <v>10060000</v>
      </c>
      <c r="L835" s="281">
        <v>5038000</v>
      </c>
      <c r="M835" s="281">
        <v>5022000</v>
      </c>
      <c r="N835" s="281">
        <v>0</v>
      </c>
      <c r="O835" s="281">
        <v>0</v>
      </c>
      <c r="P835" s="171"/>
    </row>
    <row r="836" spans="1:16" s="101" customFormat="1" ht="20.25" customHeight="1" thickBot="1">
      <c r="A836" s="158">
        <v>18</v>
      </c>
      <c r="B836" s="200" t="s">
        <v>25</v>
      </c>
      <c r="C836" s="290" t="s">
        <v>331</v>
      </c>
      <c r="D836" s="279" t="s">
        <v>187</v>
      </c>
      <c r="E836" s="561" t="s">
        <v>144</v>
      </c>
      <c r="F836" s="279">
        <v>2021</v>
      </c>
      <c r="G836" s="279">
        <v>2021</v>
      </c>
      <c r="H836" s="281">
        <v>250000</v>
      </c>
      <c r="I836" s="281">
        <v>0</v>
      </c>
      <c r="J836" s="281">
        <v>250000</v>
      </c>
      <c r="K836" s="281">
        <v>250000</v>
      </c>
      <c r="L836" s="281">
        <v>125455</v>
      </c>
      <c r="M836" s="281">
        <v>124545</v>
      </c>
      <c r="N836" s="281">
        <v>0</v>
      </c>
      <c r="O836" s="281">
        <v>0</v>
      </c>
      <c r="P836" s="171"/>
    </row>
    <row r="837" spans="1:16" s="102" customFormat="1" ht="30" customHeight="1" thickBot="1">
      <c r="A837" s="668" t="s">
        <v>20</v>
      </c>
      <c r="B837" s="669"/>
      <c r="C837" s="669"/>
      <c r="D837" s="669"/>
      <c r="E837" s="669"/>
      <c r="F837" s="669"/>
      <c r="G837" s="670"/>
      <c r="H837" s="563">
        <f t="shared" ref="H837:O837" si="65">SUM(H819:H836)</f>
        <v>3476823000</v>
      </c>
      <c r="I837" s="563">
        <f t="shared" si="65"/>
        <v>260957000</v>
      </c>
      <c r="J837" s="563">
        <f t="shared" si="65"/>
        <v>847708000</v>
      </c>
      <c r="K837" s="563">
        <f t="shared" si="65"/>
        <v>391147000</v>
      </c>
      <c r="L837" s="563">
        <f t="shared" si="65"/>
        <v>224464997</v>
      </c>
      <c r="M837" s="563">
        <f t="shared" si="65"/>
        <v>221837992</v>
      </c>
      <c r="N837" s="563">
        <f t="shared" si="65"/>
        <v>225072997</v>
      </c>
      <c r="O837" s="563">
        <f t="shared" si="65"/>
        <v>231771014</v>
      </c>
      <c r="P837" s="148"/>
    </row>
    <row r="838" spans="1:16" s="16" customFormat="1" ht="15.75" thickBot="1">
      <c r="A838" s="671"/>
      <c r="B838" s="672"/>
      <c r="C838" s="672"/>
      <c r="D838" s="672"/>
      <c r="E838" s="672"/>
      <c r="F838" s="672"/>
      <c r="G838" s="672"/>
      <c r="H838" s="672"/>
      <c r="I838" s="672"/>
      <c r="J838" s="672"/>
      <c r="K838" s="672"/>
      <c r="L838" s="672"/>
      <c r="M838" s="672"/>
      <c r="N838" s="672"/>
      <c r="O838" s="672"/>
      <c r="P838" s="673"/>
    </row>
    <row r="839" spans="1:16" s="17" customFormat="1" ht="30" customHeight="1" thickBot="1">
      <c r="A839" s="652" t="s">
        <v>142</v>
      </c>
      <c r="B839" s="658"/>
      <c r="C839" s="658"/>
      <c r="D839" s="658"/>
      <c r="E839" s="658"/>
      <c r="F839" s="658"/>
      <c r="G839" s="658"/>
      <c r="H839" s="658"/>
      <c r="I839" s="658"/>
      <c r="J839" s="658"/>
      <c r="K839" s="658"/>
      <c r="L839" s="653"/>
      <c r="M839" s="653"/>
      <c r="N839" s="653"/>
      <c r="O839" s="653"/>
      <c r="P839" s="654"/>
    </row>
    <row r="840" spans="1:16" s="101" customFormat="1" ht="33.75" customHeight="1">
      <c r="A840" s="200">
        <v>1</v>
      </c>
      <c r="B840" s="158" t="s">
        <v>36</v>
      </c>
      <c r="C840" s="208" t="s">
        <v>137</v>
      </c>
      <c r="D840" s="158" t="s">
        <v>196</v>
      </c>
      <c r="E840" s="158" t="s">
        <v>138</v>
      </c>
      <c r="F840" s="158">
        <v>2021</v>
      </c>
      <c r="G840" s="158">
        <v>2021</v>
      </c>
      <c r="H840" s="144">
        <v>500000</v>
      </c>
      <c r="I840" s="144">
        <v>0</v>
      </c>
      <c r="J840" s="144">
        <v>500000</v>
      </c>
      <c r="K840" s="158"/>
      <c r="L840" s="144">
        <v>60000</v>
      </c>
      <c r="M840" s="144">
        <v>129000</v>
      </c>
      <c r="N840" s="144">
        <v>150000</v>
      </c>
      <c r="O840" s="144">
        <v>161000</v>
      </c>
      <c r="P840" s="147"/>
    </row>
    <row r="841" spans="1:16" s="101" customFormat="1" ht="33.75" customHeight="1">
      <c r="A841" s="158">
        <v>2</v>
      </c>
      <c r="B841" s="200" t="s">
        <v>36</v>
      </c>
      <c r="C841" s="208" t="s">
        <v>132</v>
      </c>
      <c r="D841" s="158" t="s">
        <v>196</v>
      </c>
      <c r="E841" s="158" t="s">
        <v>650</v>
      </c>
      <c r="F841" s="158">
        <v>2007</v>
      </c>
      <c r="G841" s="158">
        <v>2023</v>
      </c>
      <c r="H841" s="144">
        <v>285287000</v>
      </c>
      <c r="I841" s="144">
        <v>173363982</v>
      </c>
      <c r="J841" s="144">
        <v>19006000</v>
      </c>
      <c r="K841" s="158"/>
      <c r="L841" s="144">
        <v>2282000</v>
      </c>
      <c r="M841" s="144">
        <v>4947000</v>
      </c>
      <c r="N841" s="144">
        <v>5703000</v>
      </c>
      <c r="O841" s="144">
        <v>6074000</v>
      </c>
      <c r="P841" s="141"/>
    </row>
    <row r="842" spans="1:16" s="101" customFormat="1" ht="24" customHeight="1">
      <c r="A842" s="200">
        <v>3</v>
      </c>
      <c r="B842" s="200" t="s">
        <v>25</v>
      </c>
      <c r="C842" s="208" t="s">
        <v>1636</v>
      </c>
      <c r="D842" s="158" t="s">
        <v>196</v>
      </c>
      <c r="E842" s="158" t="s">
        <v>725</v>
      </c>
      <c r="F842" s="158">
        <v>2020</v>
      </c>
      <c r="G842" s="158">
        <v>2023</v>
      </c>
      <c r="H842" s="144">
        <v>16000000</v>
      </c>
      <c r="I842" s="144">
        <v>5250000</v>
      </c>
      <c r="J842" s="144">
        <v>4000000</v>
      </c>
      <c r="K842" s="158"/>
      <c r="L842" s="144">
        <v>480000</v>
      </c>
      <c r="M842" s="144">
        <v>1041000</v>
      </c>
      <c r="N842" s="144">
        <v>1200000</v>
      </c>
      <c r="O842" s="144">
        <v>1279000</v>
      </c>
      <c r="P842" s="147"/>
    </row>
    <row r="843" spans="1:16" s="101" customFormat="1" ht="24" customHeight="1">
      <c r="A843" s="158">
        <v>4</v>
      </c>
      <c r="B843" s="200" t="s">
        <v>25</v>
      </c>
      <c r="C843" s="208" t="s">
        <v>1545</v>
      </c>
      <c r="D843" s="158" t="s">
        <v>196</v>
      </c>
      <c r="E843" s="158" t="s">
        <v>725</v>
      </c>
      <c r="F843" s="158">
        <v>2020</v>
      </c>
      <c r="G843" s="158">
        <v>2023</v>
      </c>
      <c r="H843" s="144">
        <v>31500000</v>
      </c>
      <c r="I843" s="144">
        <v>10000000</v>
      </c>
      <c r="J843" s="144">
        <v>8000000</v>
      </c>
      <c r="K843" s="158"/>
      <c r="L843" s="144">
        <v>960000</v>
      </c>
      <c r="M843" s="144">
        <v>2082000</v>
      </c>
      <c r="N843" s="144">
        <v>2400000</v>
      </c>
      <c r="O843" s="144">
        <v>2558000</v>
      </c>
      <c r="P843" s="141"/>
    </row>
    <row r="844" spans="1:16" s="101" customFormat="1" ht="24" customHeight="1">
      <c r="A844" s="200">
        <v>5</v>
      </c>
      <c r="B844" s="200" t="s">
        <v>25</v>
      </c>
      <c r="C844" s="208" t="s">
        <v>35</v>
      </c>
      <c r="D844" s="158" t="s">
        <v>196</v>
      </c>
      <c r="E844" s="158" t="s">
        <v>725</v>
      </c>
      <c r="F844" s="158">
        <v>2021</v>
      </c>
      <c r="G844" s="158">
        <v>2021</v>
      </c>
      <c r="H844" s="144">
        <v>7394000</v>
      </c>
      <c r="I844" s="144">
        <v>0</v>
      </c>
      <c r="J844" s="144">
        <v>7394000</v>
      </c>
      <c r="K844" s="158"/>
      <c r="L844" s="144">
        <v>890000</v>
      </c>
      <c r="M844" s="144">
        <v>1926000</v>
      </c>
      <c r="N844" s="144">
        <v>2220000</v>
      </c>
      <c r="O844" s="144">
        <v>2358000</v>
      </c>
      <c r="P844" s="141"/>
    </row>
    <row r="845" spans="1:16" s="101" customFormat="1" ht="24" customHeight="1">
      <c r="A845" s="158">
        <v>6</v>
      </c>
      <c r="B845" s="200" t="s">
        <v>36</v>
      </c>
      <c r="C845" s="208" t="s">
        <v>134</v>
      </c>
      <c r="D845" s="158" t="s">
        <v>196</v>
      </c>
      <c r="E845" s="158" t="s">
        <v>650</v>
      </c>
      <c r="F845" s="158">
        <v>2021</v>
      </c>
      <c r="G845" s="158">
        <v>2021</v>
      </c>
      <c r="H845" s="144">
        <v>7000000</v>
      </c>
      <c r="I845" s="144">
        <v>0</v>
      </c>
      <c r="J845" s="144">
        <v>7000000</v>
      </c>
      <c r="K845" s="158"/>
      <c r="L845" s="144">
        <v>840000</v>
      </c>
      <c r="M845" s="144">
        <v>1821000</v>
      </c>
      <c r="N845" s="144">
        <v>2100000</v>
      </c>
      <c r="O845" s="144">
        <v>2239000</v>
      </c>
      <c r="P845" s="141"/>
    </row>
    <row r="846" spans="1:16" s="101" customFormat="1" ht="24" customHeight="1">
      <c r="A846" s="200">
        <v>7</v>
      </c>
      <c r="B846" s="200" t="s">
        <v>25</v>
      </c>
      <c r="C846" s="208" t="s">
        <v>1637</v>
      </c>
      <c r="D846" s="158" t="s">
        <v>196</v>
      </c>
      <c r="E846" s="158" t="s">
        <v>153</v>
      </c>
      <c r="F846" s="158">
        <v>2017</v>
      </c>
      <c r="G846" s="158">
        <v>2023</v>
      </c>
      <c r="H846" s="144">
        <v>60000000</v>
      </c>
      <c r="I846" s="144">
        <v>36373000</v>
      </c>
      <c r="J846" s="144">
        <v>15250000</v>
      </c>
      <c r="K846" s="158"/>
      <c r="L846" s="144">
        <v>1830000</v>
      </c>
      <c r="M846" s="144">
        <v>3969000</v>
      </c>
      <c r="N846" s="144">
        <v>4575000</v>
      </c>
      <c r="O846" s="144">
        <v>4876000</v>
      </c>
      <c r="P846" s="141"/>
    </row>
    <row r="847" spans="1:16" s="101" customFormat="1" ht="24" customHeight="1">
      <c r="A847" s="158">
        <v>8</v>
      </c>
      <c r="B847" s="200" t="s">
        <v>36</v>
      </c>
      <c r="C847" s="208" t="s">
        <v>1638</v>
      </c>
      <c r="D847" s="158" t="s">
        <v>196</v>
      </c>
      <c r="E847" s="158" t="s">
        <v>725</v>
      </c>
      <c r="F847" s="158">
        <v>2019</v>
      </c>
      <c r="G847" s="158">
        <v>2023</v>
      </c>
      <c r="H847" s="144">
        <v>57172000</v>
      </c>
      <c r="I847" s="144">
        <v>20661000</v>
      </c>
      <c r="J847" s="144">
        <v>14524000</v>
      </c>
      <c r="K847" s="158"/>
      <c r="L847" s="144">
        <v>4000</v>
      </c>
      <c r="M847" s="144">
        <v>4000</v>
      </c>
      <c r="N847" s="144">
        <v>4000</v>
      </c>
      <c r="O847" s="144">
        <v>2524</v>
      </c>
      <c r="P847" s="141"/>
    </row>
    <row r="848" spans="1:16" s="101" customFormat="1" ht="24" customHeight="1">
      <c r="A848" s="200">
        <v>9</v>
      </c>
      <c r="B848" s="200" t="s">
        <v>36</v>
      </c>
      <c r="C848" s="208" t="s">
        <v>1639</v>
      </c>
      <c r="D848" s="158" t="s">
        <v>196</v>
      </c>
      <c r="E848" s="158" t="s">
        <v>650</v>
      </c>
      <c r="F848" s="158">
        <v>2012</v>
      </c>
      <c r="G848" s="158">
        <v>2021</v>
      </c>
      <c r="H848" s="144">
        <v>28761000</v>
      </c>
      <c r="I848" s="144">
        <v>28759000</v>
      </c>
      <c r="J848" s="144">
        <v>2000</v>
      </c>
      <c r="K848" s="158"/>
      <c r="L848" s="144">
        <v>2000</v>
      </c>
      <c r="M848" s="144">
        <v>0</v>
      </c>
      <c r="N848" s="144">
        <v>0</v>
      </c>
      <c r="O848" s="144">
        <v>0</v>
      </c>
      <c r="P848" s="310"/>
    </row>
    <row r="849" spans="1:16" s="101" customFormat="1" ht="24" customHeight="1">
      <c r="A849" s="158">
        <v>10</v>
      </c>
      <c r="B849" s="200" t="s">
        <v>36</v>
      </c>
      <c r="C849" s="208" t="s">
        <v>1640</v>
      </c>
      <c r="D849" s="158" t="s">
        <v>196</v>
      </c>
      <c r="E849" s="158" t="s">
        <v>650</v>
      </c>
      <c r="F849" s="158">
        <v>2013</v>
      </c>
      <c r="G849" s="158">
        <v>2021</v>
      </c>
      <c r="H849" s="144">
        <v>3437000</v>
      </c>
      <c r="I849" s="144">
        <v>3435000</v>
      </c>
      <c r="J849" s="144">
        <v>2000</v>
      </c>
      <c r="K849" s="158"/>
      <c r="L849" s="144">
        <v>2000</v>
      </c>
      <c r="M849" s="144">
        <v>0</v>
      </c>
      <c r="N849" s="144">
        <v>0</v>
      </c>
      <c r="O849" s="144">
        <v>0</v>
      </c>
      <c r="P849" s="141"/>
    </row>
    <row r="850" spans="1:16" s="101" customFormat="1" ht="24" customHeight="1">
      <c r="A850" s="200">
        <v>11</v>
      </c>
      <c r="B850" s="200" t="s">
        <v>36</v>
      </c>
      <c r="C850" s="208" t="s">
        <v>1641</v>
      </c>
      <c r="D850" s="158" t="s">
        <v>196</v>
      </c>
      <c r="E850" s="158" t="s">
        <v>725</v>
      </c>
      <c r="F850" s="158">
        <v>2016</v>
      </c>
      <c r="G850" s="158">
        <v>2021</v>
      </c>
      <c r="H850" s="144">
        <v>26370000</v>
      </c>
      <c r="I850" s="144">
        <v>25870000</v>
      </c>
      <c r="J850" s="144">
        <v>500000</v>
      </c>
      <c r="K850" s="158"/>
      <c r="L850" s="144">
        <v>125000</v>
      </c>
      <c r="M850" s="144">
        <v>125000</v>
      </c>
      <c r="N850" s="144">
        <v>125000</v>
      </c>
      <c r="O850" s="144">
        <v>125000</v>
      </c>
      <c r="P850" s="141"/>
    </row>
    <row r="851" spans="1:16" s="101" customFormat="1" ht="24" customHeight="1">
      <c r="A851" s="158">
        <v>12</v>
      </c>
      <c r="B851" s="200" t="s">
        <v>36</v>
      </c>
      <c r="C851" s="208" t="s">
        <v>1642</v>
      </c>
      <c r="D851" s="158" t="s">
        <v>196</v>
      </c>
      <c r="E851" s="158" t="s">
        <v>650</v>
      </c>
      <c r="F851" s="158">
        <v>2016</v>
      </c>
      <c r="G851" s="158">
        <v>2021</v>
      </c>
      <c r="H851" s="144">
        <v>18231000</v>
      </c>
      <c r="I851" s="144">
        <v>18229000</v>
      </c>
      <c r="J851" s="144">
        <v>2000</v>
      </c>
      <c r="K851" s="158"/>
      <c r="L851" s="144">
        <v>2000</v>
      </c>
      <c r="M851" s="144">
        <v>0</v>
      </c>
      <c r="N851" s="144">
        <v>0</v>
      </c>
      <c r="O851" s="144">
        <v>0</v>
      </c>
      <c r="P851" s="141"/>
    </row>
    <row r="852" spans="1:16" s="101" customFormat="1" ht="24" customHeight="1" thickBot="1">
      <c r="A852" s="320">
        <v>13</v>
      </c>
      <c r="B852" s="320" t="s">
        <v>25</v>
      </c>
      <c r="C852" s="402" t="s">
        <v>1643</v>
      </c>
      <c r="D852" s="351" t="s">
        <v>196</v>
      </c>
      <c r="E852" s="351" t="s">
        <v>725</v>
      </c>
      <c r="F852" s="351">
        <v>2016</v>
      </c>
      <c r="G852" s="351">
        <v>2021</v>
      </c>
      <c r="H852" s="145">
        <v>15864000</v>
      </c>
      <c r="I852" s="145">
        <v>12674000</v>
      </c>
      <c r="J852" s="145">
        <v>3190000</v>
      </c>
      <c r="K852" s="351"/>
      <c r="L852" s="145">
        <v>1000</v>
      </c>
      <c r="M852" s="145">
        <v>1000</v>
      </c>
      <c r="N852" s="145">
        <v>1000</v>
      </c>
      <c r="O852" s="145">
        <v>190</v>
      </c>
      <c r="P852" s="310"/>
    </row>
    <row r="853" spans="1:16" s="404" customFormat="1" ht="30" customHeight="1" thickBot="1">
      <c r="A853" s="668" t="s">
        <v>20</v>
      </c>
      <c r="B853" s="669"/>
      <c r="C853" s="669"/>
      <c r="D853" s="669"/>
      <c r="E853" s="669"/>
      <c r="F853" s="669"/>
      <c r="G853" s="670"/>
      <c r="H853" s="407">
        <f t="shared" ref="H853:O853" si="66">SUM(H840:H852)</f>
        <v>557516000</v>
      </c>
      <c r="I853" s="407">
        <f t="shared" si="66"/>
        <v>334614982</v>
      </c>
      <c r="J853" s="407">
        <f t="shared" si="66"/>
        <v>79370000</v>
      </c>
      <c r="K853" s="407">
        <f t="shared" si="66"/>
        <v>0</v>
      </c>
      <c r="L853" s="407">
        <f t="shared" si="66"/>
        <v>7478000</v>
      </c>
      <c r="M853" s="407">
        <f t="shared" si="66"/>
        <v>16045000</v>
      </c>
      <c r="N853" s="407">
        <f t="shared" si="66"/>
        <v>18478000</v>
      </c>
      <c r="O853" s="407">
        <f t="shared" si="66"/>
        <v>19672714</v>
      </c>
      <c r="P853" s="405"/>
    </row>
    <row r="854" spans="1:16" ht="15.75" thickBot="1">
      <c r="A854" s="674"/>
      <c r="B854" s="675"/>
      <c r="C854" s="675"/>
      <c r="D854" s="675"/>
      <c r="E854" s="675"/>
      <c r="F854" s="675"/>
      <c r="G854" s="675"/>
      <c r="H854" s="675"/>
      <c r="I854" s="675"/>
      <c r="J854" s="675"/>
      <c r="K854" s="675"/>
      <c r="L854" s="675"/>
      <c r="M854" s="675"/>
      <c r="N854" s="675"/>
      <c r="O854" s="675"/>
      <c r="P854" s="676"/>
    </row>
    <row r="855" spans="1:16" s="16" customFormat="1" ht="30" customHeight="1" thickBot="1">
      <c r="A855" s="652" t="s">
        <v>156</v>
      </c>
      <c r="B855" s="653"/>
      <c r="C855" s="653"/>
      <c r="D855" s="653"/>
      <c r="E855" s="653"/>
      <c r="F855" s="653"/>
      <c r="G855" s="653"/>
      <c r="H855" s="653"/>
      <c r="I855" s="653"/>
      <c r="J855" s="653"/>
      <c r="K855" s="653"/>
      <c r="L855" s="653"/>
      <c r="M855" s="653"/>
      <c r="N855" s="653"/>
      <c r="O855" s="653"/>
      <c r="P855" s="654"/>
    </row>
    <row r="856" spans="1:16" s="102" customFormat="1" ht="27.75" customHeight="1">
      <c r="A856" s="379">
        <v>1</v>
      </c>
      <c r="B856" s="200" t="s">
        <v>36</v>
      </c>
      <c r="C856" s="291" t="s">
        <v>1174</v>
      </c>
      <c r="D856" s="152" t="s">
        <v>1175</v>
      </c>
      <c r="E856" s="152" t="s">
        <v>130</v>
      </c>
      <c r="F856" s="152">
        <v>2021</v>
      </c>
      <c r="G856" s="202">
        <v>2021</v>
      </c>
      <c r="H856" s="203">
        <v>200000</v>
      </c>
      <c r="I856" s="219">
        <v>0</v>
      </c>
      <c r="J856" s="203">
        <v>200000</v>
      </c>
      <c r="K856" s="159">
        <v>200000</v>
      </c>
      <c r="L856" s="144">
        <v>150000</v>
      </c>
      <c r="M856" s="144">
        <v>50000</v>
      </c>
      <c r="N856" s="144"/>
      <c r="O856" s="144"/>
      <c r="P856" s="292"/>
    </row>
    <row r="857" spans="1:16" s="31" customFormat="1" ht="63">
      <c r="A857" s="379">
        <v>2</v>
      </c>
      <c r="B857" s="200" t="s">
        <v>36</v>
      </c>
      <c r="C857" s="172" t="s">
        <v>743</v>
      </c>
      <c r="D857" s="171" t="s">
        <v>23</v>
      </c>
      <c r="E857" s="171" t="s">
        <v>1176</v>
      </c>
      <c r="F857" s="171">
        <v>2020</v>
      </c>
      <c r="G857" s="158">
        <v>2022</v>
      </c>
      <c r="H857" s="144">
        <v>15000000</v>
      </c>
      <c r="I857" s="166">
        <v>0</v>
      </c>
      <c r="J857" s="144">
        <v>4000000</v>
      </c>
      <c r="K857" s="144">
        <v>4000000</v>
      </c>
      <c r="L857" s="144">
        <v>480000</v>
      </c>
      <c r="M857" s="144">
        <v>1041000</v>
      </c>
      <c r="N857" s="144">
        <v>1200000</v>
      </c>
      <c r="O857" s="144">
        <v>1279000</v>
      </c>
      <c r="P857" s="293"/>
    </row>
    <row r="858" spans="1:16" s="31" customFormat="1" ht="31.5">
      <c r="A858" s="379">
        <v>3</v>
      </c>
      <c r="B858" s="200" t="s">
        <v>36</v>
      </c>
      <c r="C858" s="172" t="s">
        <v>745</v>
      </c>
      <c r="D858" s="171" t="s">
        <v>23</v>
      </c>
      <c r="E858" s="171" t="s">
        <v>143</v>
      </c>
      <c r="F858" s="171">
        <v>2020</v>
      </c>
      <c r="G858" s="158">
        <v>2022</v>
      </c>
      <c r="H858" s="144">
        <v>26000000</v>
      </c>
      <c r="I858" s="144">
        <v>5378290.71</v>
      </c>
      <c r="J858" s="144">
        <v>12000000</v>
      </c>
      <c r="K858" s="144">
        <v>12000000</v>
      </c>
      <c r="L858" s="144">
        <v>1440000</v>
      </c>
      <c r="M858" s="144">
        <v>3109000</v>
      </c>
      <c r="N858" s="144">
        <v>3600000</v>
      </c>
      <c r="O858" s="144">
        <v>3851000</v>
      </c>
      <c r="P858" s="293"/>
    </row>
    <row r="859" spans="1:16" s="31" customFormat="1" ht="31.5">
      <c r="A859" s="379">
        <v>4</v>
      </c>
      <c r="B859" s="200" t="s">
        <v>36</v>
      </c>
      <c r="C859" s="172" t="s">
        <v>1177</v>
      </c>
      <c r="D859" s="171" t="s">
        <v>23</v>
      </c>
      <c r="E859" s="171" t="s">
        <v>139</v>
      </c>
      <c r="F859" s="171">
        <v>2021</v>
      </c>
      <c r="G859" s="158">
        <v>2021</v>
      </c>
      <c r="H859" s="144">
        <v>4000000</v>
      </c>
      <c r="I859" s="167">
        <v>0</v>
      </c>
      <c r="J859" s="144">
        <v>4000000</v>
      </c>
      <c r="K859" s="144">
        <v>4000000</v>
      </c>
      <c r="L859" s="144">
        <v>480000</v>
      </c>
      <c r="M859" s="144">
        <v>1041000</v>
      </c>
      <c r="N859" s="144">
        <v>1200000</v>
      </c>
      <c r="O859" s="144">
        <v>1279000</v>
      </c>
      <c r="P859" s="293"/>
    </row>
    <row r="860" spans="1:16" s="31" customFormat="1" ht="47.25">
      <c r="A860" s="379">
        <v>5</v>
      </c>
      <c r="B860" s="200" t="s">
        <v>36</v>
      </c>
      <c r="C860" s="172" t="s">
        <v>34</v>
      </c>
      <c r="D860" s="171" t="s">
        <v>23</v>
      </c>
      <c r="E860" s="171" t="s">
        <v>1178</v>
      </c>
      <c r="F860" s="171">
        <v>2021</v>
      </c>
      <c r="G860" s="158">
        <v>2021</v>
      </c>
      <c r="H860" s="144">
        <v>9998000</v>
      </c>
      <c r="I860" s="167">
        <v>0</v>
      </c>
      <c r="J860" s="144">
        <v>9998000</v>
      </c>
      <c r="K860" s="144">
        <v>9998000</v>
      </c>
      <c r="L860" s="144">
        <v>1200000</v>
      </c>
      <c r="M860" s="144">
        <v>2604000</v>
      </c>
      <c r="N860" s="144">
        <v>3000000</v>
      </c>
      <c r="O860" s="144">
        <v>3194000</v>
      </c>
      <c r="P860" s="294"/>
    </row>
    <row r="861" spans="1:16" s="31" customFormat="1" ht="31.5">
      <c r="A861" s="379">
        <v>6</v>
      </c>
      <c r="B861" s="200" t="s">
        <v>36</v>
      </c>
      <c r="C861" s="172" t="s">
        <v>1179</v>
      </c>
      <c r="D861" s="171" t="s">
        <v>23</v>
      </c>
      <c r="E861" s="171" t="s">
        <v>1180</v>
      </c>
      <c r="F861" s="171">
        <v>2021</v>
      </c>
      <c r="G861" s="158">
        <v>2023</v>
      </c>
      <c r="H861" s="144">
        <v>36699000</v>
      </c>
      <c r="I861" s="167">
        <v>0</v>
      </c>
      <c r="J861" s="144">
        <v>36700000</v>
      </c>
      <c r="K861" s="144">
        <v>36700000</v>
      </c>
      <c r="L861" s="144">
        <v>4278000</v>
      </c>
      <c r="M861" s="144">
        <v>9544000</v>
      </c>
      <c r="N861" s="144">
        <v>11070000</v>
      </c>
      <c r="O861" s="144">
        <v>11808000</v>
      </c>
      <c r="P861" s="157"/>
    </row>
    <row r="862" spans="1:16" s="31" customFormat="1" ht="31.5">
      <c r="A862" s="379">
        <v>7</v>
      </c>
      <c r="B862" s="200" t="s">
        <v>36</v>
      </c>
      <c r="C862" s="172" t="s">
        <v>1181</v>
      </c>
      <c r="D862" s="171" t="s">
        <v>23</v>
      </c>
      <c r="E862" s="171" t="s">
        <v>1182</v>
      </c>
      <c r="F862" s="171">
        <v>2020</v>
      </c>
      <c r="G862" s="158">
        <v>2023</v>
      </c>
      <c r="H862" s="144">
        <v>20448000</v>
      </c>
      <c r="I862" s="167">
        <v>0</v>
      </c>
      <c r="J862" s="144">
        <v>5000000</v>
      </c>
      <c r="K862" s="144">
        <v>5000000</v>
      </c>
      <c r="L862" s="144">
        <v>600000</v>
      </c>
      <c r="M862" s="144">
        <v>1302000</v>
      </c>
      <c r="N862" s="144">
        <v>1500000</v>
      </c>
      <c r="O862" s="144">
        <v>1598000</v>
      </c>
      <c r="P862" s="157"/>
    </row>
    <row r="863" spans="1:16" s="31" customFormat="1" ht="22.5" customHeight="1">
      <c r="A863" s="379">
        <v>8</v>
      </c>
      <c r="B863" s="200" t="s">
        <v>36</v>
      </c>
      <c r="C863" s="172" t="s">
        <v>1068</v>
      </c>
      <c r="D863" s="171" t="s">
        <v>23</v>
      </c>
      <c r="E863" s="171" t="s">
        <v>1183</v>
      </c>
      <c r="F863" s="171">
        <v>2021</v>
      </c>
      <c r="G863" s="158">
        <v>2023</v>
      </c>
      <c r="H863" s="144">
        <v>15400000</v>
      </c>
      <c r="I863" s="167">
        <v>0</v>
      </c>
      <c r="J863" s="144">
        <v>5000000</v>
      </c>
      <c r="K863" s="144">
        <v>5000000</v>
      </c>
      <c r="L863" s="144">
        <v>600000</v>
      </c>
      <c r="M863" s="144">
        <v>1302000</v>
      </c>
      <c r="N863" s="144">
        <v>1500000</v>
      </c>
      <c r="O863" s="144">
        <v>1598000</v>
      </c>
      <c r="P863" s="206"/>
    </row>
    <row r="864" spans="1:16" s="31" customFormat="1" ht="22.5" customHeight="1">
      <c r="A864" s="379">
        <v>9</v>
      </c>
      <c r="B864" s="200" t="s">
        <v>36</v>
      </c>
      <c r="C864" s="172" t="s">
        <v>763</v>
      </c>
      <c r="D864" s="171" t="s">
        <v>23</v>
      </c>
      <c r="E864" s="171" t="s">
        <v>145</v>
      </c>
      <c r="F864" s="171">
        <v>2021</v>
      </c>
      <c r="G864" s="158">
        <v>2021</v>
      </c>
      <c r="H864" s="144">
        <v>3225000</v>
      </c>
      <c r="I864" s="166">
        <v>0</v>
      </c>
      <c r="J864" s="144">
        <v>3225000</v>
      </c>
      <c r="K864" s="144">
        <v>3225000</v>
      </c>
      <c r="L864" s="144">
        <v>1387000</v>
      </c>
      <c r="M864" s="144">
        <v>1838000</v>
      </c>
      <c r="N864" s="144"/>
      <c r="O864" s="144"/>
      <c r="P864" s="206"/>
    </row>
    <row r="865" spans="1:16" s="31" customFormat="1" ht="32.25" thickBot="1">
      <c r="A865" s="380">
        <v>10</v>
      </c>
      <c r="B865" s="200" t="s">
        <v>36</v>
      </c>
      <c r="C865" s="172" t="s">
        <v>1184</v>
      </c>
      <c r="D865" s="171" t="s">
        <v>23</v>
      </c>
      <c r="E865" s="171" t="s">
        <v>153</v>
      </c>
      <c r="F865" s="171">
        <v>2020</v>
      </c>
      <c r="G865" s="158">
        <v>2022</v>
      </c>
      <c r="H865" s="144">
        <v>20000000</v>
      </c>
      <c r="I865" s="167">
        <v>0</v>
      </c>
      <c r="J865" s="144">
        <v>6500000</v>
      </c>
      <c r="K865" s="144">
        <v>6500000</v>
      </c>
      <c r="L865" s="144">
        <v>780000</v>
      </c>
      <c r="M865" s="144">
        <v>1692000</v>
      </c>
      <c r="N865" s="144">
        <v>1950000</v>
      </c>
      <c r="O865" s="144">
        <v>2078000</v>
      </c>
      <c r="P865" s="157"/>
    </row>
    <row r="866" spans="1:16" s="33" customFormat="1" ht="30" customHeight="1" thickBot="1">
      <c r="A866" s="668" t="s">
        <v>20</v>
      </c>
      <c r="B866" s="669"/>
      <c r="C866" s="669"/>
      <c r="D866" s="669"/>
      <c r="E866" s="669"/>
      <c r="F866" s="669"/>
      <c r="G866" s="670"/>
      <c r="H866" s="558">
        <f t="shared" ref="H866:O866" si="67">SUM(H856:H865)</f>
        <v>150970000</v>
      </c>
      <c r="I866" s="558">
        <f t="shared" si="67"/>
        <v>5378290.71</v>
      </c>
      <c r="J866" s="558">
        <f t="shared" si="67"/>
        <v>86623000</v>
      </c>
      <c r="K866" s="558">
        <f t="shared" si="67"/>
        <v>86623000</v>
      </c>
      <c r="L866" s="558">
        <f t="shared" si="67"/>
        <v>11395000</v>
      </c>
      <c r="M866" s="558">
        <f t="shared" si="67"/>
        <v>23523000</v>
      </c>
      <c r="N866" s="558">
        <f t="shared" si="67"/>
        <v>25020000</v>
      </c>
      <c r="O866" s="558">
        <f t="shared" si="67"/>
        <v>26685000</v>
      </c>
      <c r="P866" s="125"/>
    </row>
    <row r="867" spans="1:16" ht="15.75" thickBot="1">
      <c r="A867" s="671"/>
      <c r="B867" s="672"/>
      <c r="C867" s="672"/>
      <c r="D867" s="672"/>
      <c r="E867" s="672"/>
      <c r="F867" s="672"/>
      <c r="G867" s="672"/>
      <c r="H867" s="672"/>
      <c r="I867" s="672"/>
      <c r="J867" s="672"/>
      <c r="K867" s="672"/>
      <c r="L867" s="672"/>
      <c r="M867" s="672"/>
      <c r="N867" s="672"/>
      <c r="O867" s="672"/>
      <c r="P867" s="673"/>
    </row>
    <row r="868" spans="1:16" ht="30" customHeight="1" thickBot="1">
      <c r="A868" s="665" t="s">
        <v>157</v>
      </c>
      <c r="B868" s="666"/>
      <c r="C868" s="666"/>
      <c r="D868" s="666"/>
      <c r="E868" s="666"/>
      <c r="F868" s="666"/>
      <c r="G868" s="666"/>
      <c r="H868" s="666"/>
      <c r="I868" s="666"/>
      <c r="J868" s="666"/>
      <c r="K868" s="666"/>
      <c r="L868" s="666"/>
      <c r="M868" s="666"/>
      <c r="N868" s="666"/>
      <c r="O868" s="666"/>
      <c r="P868" s="667"/>
    </row>
    <row r="869" spans="1:16" s="31" customFormat="1" ht="47.25">
      <c r="A869" s="381">
        <v>1</v>
      </c>
      <c r="B869" s="200" t="s">
        <v>36</v>
      </c>
      <c r="C869" s="160" t="s">
        <v>133</v>
      </c>
      <c r="D869" s="165" t="s">
        <v>1714</v>
      </c>
      <c r="E869" s="152" t="s">
        <v>1715</v>
      </c>
      <c r="F869" s="165">
        <v>2020</v>
      </c>
      <c r="G869" s="165">
        <v>2023</v>
      </c>
      <c r="H869" s="169">
        <v>3300000</v>
      </c>
      <c r="I869" s="169">
        <v>300000</v>
      </c>
      <c r="J869" s="169">
        <v>1000000</v>
      </c>
      <c r="K869" s="169">
        <v>0</v>
      </c>
      <c r="L869" s="169">
        <v>30000</v>
      </c>
      <c r="M869" s="169">
        <v>44000</v>
      </c>
      <c r="N869" s="169">
        <v>170000</v>
      </c>
      <c r="O869" s="169">
        <v>756000</v>
      </c>
      <c r="P869" s="382"/>
    </row>
    <row r="870" spans="1:16" s="31" customFormat="1" ht="31.5">
      <c r="A870" s="379">
        <v>2</v>
      </c>
      <c r="B870" s="200" t="s">
        <v>36</v>
      </c>
      <c r="C870" s="160" t="s">
        <v>1716</v>
      </c>
      <c r="D870" s="165" t="s">
        <v>1714</v>
      </c>
      <c r="E870" s="165" t="s">
        <v>130</v>
      </c>
      <c r="F870" s="165">
        <v>2021</v>
      </c>
      <c r="G870" s="165">
        <v>2021</v>
      </c>
      <c r="H870" s="169">
        <v>200000</v>
      </c>
      <c r="I870" s="169">
        <v>0</v>
      </c>
      <c r="J870" s="169">
        <v>200000</v>
      </c>
      <c r="K870" s="169">
        <v>0</v>
      </c>
      <c r="L870" s="169">
        <v>48000</v>
      </c>
      <c r="M870" s="169">
        <v>32000</v>
      </c>
      <c r="N870" s="169">
        <v>70000</v>
      </c>
      <c r="O870" s="169">
        <v>50000</v>
      </c>
      <c r="P870" s="293"/>
    </row>
    <row r="871" spans="1:16" s="31" customFormat="1" ht="31.5">
      <c r="A871" s="379">
        <v>3</v>
      </c>
      <c r="B871" s="200" t="s">
        <v>36</v>
      </c>
      <c r="C871" s="160" t="s">
        <v>132</v>
      </c>
      <c r="D871" s="165" t="s">
        <v>1714</v>
      </c>
      <c r="E871" s="295" t="s">
        <v>131</v>
      </c>
      <c r="F871" s="165">
        <v>2014</v>
      </c>
      <c r="G871" s="165">
        <v>2022</v>
      </c>
      <c r="H871" s="169">
        <v>6173000</v>
      </c>
      <c r="I871" s="169">
        <v>3296951</v>
      </c>
      <c r="J871" s="169">
        <v>3200000</v>
      </c>
      <c r="K871" s="169">
        <v>0</v>
      </c>
      <c r="L871" s="169">
        <v>450000</v>
      </c>
      <c r="M871" s="169">
        <v>1070000</v>
      </c>
      <c r="N871" s="169">
        <v>1080000</v>
      </c>
      <c r="O871" s="169">
        <v>600000</v>
      </c>
      <c r="P871" s="293"/>
    </row>
    <row r="872" spans="1:16" s="31" customFormat="1" ht="31.5">
      <c r="A872" s="379">
        <v>4</v>
      </c>
      <c r="B872" s="200" t="s">
        <v>36</v>
      </c>
      <c r="C872" s="160" t="s">
        <v>35</v>
      </c>
      <c r="D872" s="165" t="s">
        <v>1714</v>
      </c>
      <c r="E872" s="165" t="s">
        <v>1717</v>
      </c>
      <c r="F872" s="165">
        <v>2021</v>
      </c>
      <c r="G872" s="165">
        <v>2021</v>
      </c>
      <c r="H872" s="169">
        <v>1000000</v>
      </c>
      <c r="I872" s="169">
        <v>0</v>
      </c>
      <c r="J872" s="169">
        <v>1000000</v>
      </c>
      <c r="K872" s="169">
        <v>0</v>
      </c>
      <c r="L872" s="169">
        <v>120000</v>
      </c>
      <c r="M872" s="169">
        <v>261000</v>
      </c>
      <c r="N872" s="169">
        <v>300000</v>
      </c>
      <c r="O872" s="169">
        <v>319000</v>
      </c>
      <c r="P872" s="293"/>
    </row>
    <row r="873" spans="1:16" s="31" customFormat="1" ht="31.5">
      <c r="A873" s="379">
        <v>5</v>
      </c>
      <c r="B873" s="200" t="s">
        <v>36</v>
      </c>
      <c r="C873" s="160" t="s">
        <v>134</v>
      </c>
      <c r="D873" s="165" t="s">
        <v>1714</v>
      </c>
      <c r="E873" s="165" t="s">
        <v>1718</v>
      </c>
      <c r="F873" s="165">
        <v>2021</v>
      </c>
      <c r="G873" s="165">
        <v>2021</v>
      </c>
      <c r="H873" s="169">
        <v>600000</v>
      </c>
      <c r="I873" s="169">
        <v>0</v>
      </c>
      <c r="J873" s="169">
        <v>600000</v>
      </c>
      <c r="K873" s="169">
        <v>0</v>
      </c>
      <c r="L873" s="169">
        <v>72000</v>
      </c>
      <c r="M873" s="169">
        <v>156000</v>
      </c>
      <c r="N873" s="169">
        <v>180000</v>
      </c>
      <c r="O873" s="169">
        <v>192000</v>
      </c>
      <c r="P873" s="293"/>
    </row>
    <row r="874" spans="1:16" s="31" customFormat="1" ht="31.5">
      <c r="A874" s="379">
        <v>6</v>
      </c>
      <c r="B874" s="200" t="s">
        <v>36</v>
      </c>
      <c r="C874" s="160" t="s">
        <v>1545</v>
      </c>
      <c r="D874" s="165" t="s">
        <v>1714</v>
      </c>
      <c r="E874" s="165" t="s">
        <v>1719</v>
      </c>
      <c r="F874" s="165">
        <v>2020</v>
      </c>
      <c r="G874" s="165">
        <v>2022</v>
      </c>
      <c r="H874" s="169">
        <v>14000000</v>
      </c>
      <c r="I874" s="169">
        <v>11992842</v>
      </c>
      <c r="J874" s="169">
        <v>1000000</v>
      </c>
      <c r="K874" s="169">
        <v>400000</v>
      </c>
      <c r="L874" s="169">
        <v>700000</v>
      </c>
      <c r="M874" s="169">
        <v>300000</v>
      </c>
      <c r="N874" s="169">
        <v>0</v>
      </c>
      <c r="O874" s="169">
        <v>0</v>
      </c>
      <c r="P874" s="242"/>
    </row>
    <row r="875" spans="1:16" s="31" customFormat="1" ht="30.75" customHeight="1">
      <c r="A875" s="380">
        <v>7</v>
      </c>
      <c r="B875" s="200" t="s">
        <v>36</v>
      </c>
      <c r="C875" s="160" t="s">
        <v>1720</v>
      </c>
      <c r="D875" s="165" t="s">
        <v>357</v>
      </c>
      <c r="E875" s="165" t="s">
        <v>1721</v>
      </c>
      <c r="F875" s="165">
        <v>2011</v>
      </c>
      <c r="G875" s="165">
        <v>2023</v>
      </c>
      <c r="H875" s="169">
        <v>1500000</v>
      </c>
      <c r="I875" s="169">
        <v>4985872</v>
      </c>
      <c r="J875" s="169">
        <v>1000000</v>
      </c>
      <c r="K875" s="169">
        <v>0</v>
      </c>
      <c r="L875" s="169">
        <v>400000</v>
      </c>
      <c r="M875" s="169">
        <v>600000</v>
      </c>
      <c r="N875" s="169">
        <v>0</v>
      </c>
      <c r="O875" s="169">
        <v>0</v>
      </c>
      <c r="P875" s="242"/>
    </row>
    <row r="876" spans="1:16" s="31" customFormat="1" ht="47.25">
      <c r="A876" s="379">
        <v>8</v>
      </c>
      <c r="B876" s="200" t="s">
        <v>36</v>
      </c>
      <c r="C876" s="160" t="s">
        <v>1722</v>
      </c>
      <c r="D876" s="165" t="s">
        <v>357</v>
      </c>
      <c r="E876" s="165" t="s">
        <v>1723</v>
      </c>
      <c r="F876" s="165">
        <v>2013</v>
      </c>
      <c r="G876" s="165">
        <v>2021</v>
      </c>
      <c r="H876" s="169">
        <v>214550358</v>
      </c>
      <c r="I876" s="169">
        <v>195523028</v>
      </c>
      <c r="J876" s="169">
        <v>500000</v>
      </c>
      <c r="K876" s="169">
        <v>6500000</v>
      </c>
      <c r="L876" s="169">
        <v>500000</v>
      </c>
      <c r="M876" s="169">
        <v>0</v>
      </c>
      <c r="N876" s="169">
        <v>0</v>
      </c>
      <c r="O876" s="169">
        <v>0</v>
      </c>
      <c r="P876" s="292"/>
    </row>
    <row r="877" spans="1:16" s="31" customFormat="1" ht="31.5">
      <c r="A877" s="379">
        <v>9</v>
      </c>
      <c r="B877" s="200" t="s">
        <v>36</v>
      </c>
      <c r="C877" s="160" t="s">
        <v>1724</v>
      </c>
      <c r="D877" s="165" t="s">
        <v>357</v>
      </c>
      <c r="E877" s="165" t="s">
        <v>1725</v>
      </c>
      <c r="F877" s="165">
        <v>2015</v>
      </c>
      <c r="G877" s="165">
        <v>2023</v>
      </c>
      <c r="H877" s="169">
        <v>6000000</v>
      </c>
      <c r="I877" s="169">
        <v>259813</v>
      </c>
      <c r="J877" s="169">
        <v>1500000</v>
      </c>
      <c r="K877" s="169">
        <v>0</v>
      </c>
      <c r="L877" s="169">
        <v>750000</v>
      </c>
      <c r="M877" s="169">
        <v>650000</v>
      </c>
      <c r="N877" s="169">
        <v>100000</v>
      </c>
      <c r="O877" s="169">
        <v>0</v>
      </c>
      <c r="P877" s="293"/>
    </row>
    <row r="878" spans="1:16" s="31" customFormat="1" ht="47.25">
      <c r="A878" s="379">
        <v>10</v>
      </c>
      <c r="B878" s="200" t="s">
        <v>36</v>
      </c>
      <c r="C878" s="160" t="s">
        <v>1726</v>
      </c>
      <c r="D878" s="165" t="s">
        <v>406</v>
      </c>
      <c r="E878" s="165" t="s">
        <v>1727</v>
      </c>
      <c r="F878" s="165">
        <v>2018</v>
      </c>
      <c r="G878" s="165">
        <v>2021</v>
      </c>
      <c r="H878" s="169">
        <v>1999911</v>
      </c>
      <c r="I878" s="169">
        <v>1047325</v>
      </c>
      <c r="J878" s="169">
        <v>500000</v>
      </c>
      <c r="K878" s="169">
        <v>0</v>
      </c>
      <c r="L878" s="169">
        <v>200000</v>
      </c>
      <c r="M878" s="169">
        <v>300000</v>
      </c>
      <c r="N878" s="169">
        <v>0</v>
      </c>
      <c r="O878" s="169">
        <v>0</v>
      </c>
      <c r="P878" s="293"/>
    </row>
    <row r="879" spans="1:16" s="31" customFormat="1" ht="31.5">
      <c r="A879" s="379">
        <v>11</v>
      </c>
      <c r="B879" s="200" t="s">
        <v>36</v>
      </c>
      <c r="C879" s="160" t="s">
        <v>1728</v>
      </c>
      <c r="D879" s="165" t="s">
        <v>434</v>
      </c>
      <c r="E879" s="165" t="s">
        <v>1729</v>
      </c>
      <c r="F879" s="165">
        <v>2020</v>
      </c>
      <c r="G879" s="165">
        <v>2022</v>
      </c>
      <c r="H879" s="169">
        <v>2902000</v>
      </c>
      <c r="I879" s="169">
        <v>184104</v>
      </c>
      <c r="J879" s="169">
        <v>1000000</v>
      </c>
      <c r="K879" s="169">
        <v>0</v>
      </c>
      <c r="L879" s="169">
        <v>348000</v>
      </c>
      <c r="M879" s="169">
        <v>652000</v>
      </c>
      <c r="N879" s="169">
        <v>0</v>
      </c>
      <c r="O879" s="169">
        <v>0</v>
      </c>
      <c r="P879" s="293"/>
    </row>
    <row r="880" spans="1:16" s="31" customFormat="1" ht="48" thickBot="1">
      <c r="A880" s="379">
        <v>12</v>
      </c>
      <c r="B880" s="200" t="s">
        <v>36</v>
      </c>
      <c r="C880" s="313" t="s">
        <v>1730</v>
      </c>
      <c r="D880" s="314" t="s">
        <v>357</v>
      </c>
      <c r="E880" s="314" t="s">
        <v>1731</v>
      </c>
      <c r="F880" s="314">
        <v>2020</v>
      </c>
      <c r="G880" s="314">
        <v>2022</v>
      </c>
      <c r="H880" s="508">
        <v>32526460</v>
      </c>
      <c r="I880" s="508">
        <v>241900</v>
      </c>
      <c r="J880" s="508">
        <v>18500000</v>
      </c>
      <c r="K880" s="508">
        <v>0</v>
      </c>
      <c r="L880" s="508">
        <v>350000</v>
      </c>
      <c r="M880" s="508">
        <v>4300000</v>
      </c>
      <c r="N880" s="508">
        <v>6650000</v>
      </c>
      <c r="O880" s="508">
        <v>7200000</v>
      </c>
      <c r="P880" s="383"/>
    </row>
    <row r="881" spans="1:16" s="31" customFormat="1" ht="30" customHeight="1" thickBot="1">
      <c r="A881" s="668" t="s">
        <v>20</v>
      </c>
      <c r="B881" s="669"/>
      <c r="C881" s="669"/>
      <c r="D881" s="669"/>
      <c r="E881" s="669"/>
      <c r="F881" s="669"/>
      <c r="G881" s="670"/>
      <c r="H881" s="558">
        <f t="shared" ref="H881:O881" si="68">SUM(H869:H880)</f>
        <v>284751729</v>
      </c>
      <c r="I881" s="558">
        <f t="shared" si="68"/>
        <v>217831835</v>
      </c>
      <c r="J881" s="558">
        <f t="shared" si="68"/>
        <v>30000000</v>
      </c>
      <c r="K881" s="558">
        <f t="shared" si="68"/>
        <v>6900000</v>
      </c>
      <c r="L881" s="558">
        <f t="shared" si="68"/>
        <v>3968000</v>
      </c>
      <c r="M881" s="558">
        <f t="shared" si="68"/>
        <v>8365000</v>
      </c>
      <c r="N881" s="558">
        <f t="shared" si="68"/>
        <v>8550000</v>
      </c>
      <c r="O881" s="558">
        <f t="shared" si="68"/>
        <v>9117000</v>
      </c>
      <c r="P881" s="126"/>
    </row>
    <row r="882" spans="1:16" ht="15.75" thickBot="1">
      <c r="A882" s="671"/>
      <c r="B882" s="672"/>
      <c r="C882" s="672"/>
      <c r="D882" s="672"/>
      <c r="E882" s="672"/>
      <c r="F882" s="672"/>
      <c r="G882" s="672"/>
      <c r="H882" s="672"/>
      <c r="I882" s="672"/>
      <c r="J882" s="672"/>
      <c r="K882" s="672"/>
      <c r="L882" s="672"/>
      <c r="M882" s="672"/>
      <c r="N882" s="672"/>
      <c r="O882" s="672"/>
      <c r="P882" s="673"/>
    </row>
    <row r="883" spans="1:16" ht="30" customHeight="1" thickBot="1">
      <c r="A883" s="652" t="s">
        <v>160</v>
      </c>
      <c r="B883" s="653"/>
      <c r="C883" s="653"/>
      <c r="D883" s="653"/>
      <c r="E883" s="653"/>
      <c r="F883" s="653"/>
      <c r="G883" s="653"/>
      <c r="H883" s="653"/>
      <c r="I883" s="653"/>
      <c r="J883" s="653"/>
      <c r="K883" s="653"/>
      <c r="L883" s="653"/>
      <c r="M883" s="653"/>
      <c r="N883" s="653"/>
      <c r="O883" s="653"/>
      <c r="P883" s="654"/>
    </row>
    <row r="884" spans="1:16" s="31" customFormat="1" ht="63">
      <c r="A884" s="200">
        <v>1</v>
      </c>
      <c r="B884" s="200" t="s">
        <v>36</v>
      </c>
      <c r="C884" s="201" t="s">
        <v>1538</v>
      </c>
      <c r="D884" s="152" t="s">
        <v>23</v>
      </c>
      <c r="E884" s="152" t="s">
        <v>1539</v>
      </c>
      <c r="F884" s="152">
        <v>2021</v>
      </c>
      <c r="G884" s="202">
        <v>2021</v>
      </c>
      <c r="H884" s="203">
        <v>7200000</v>
      </c>
      <c r="I884" s="219">
        <v>0</v>
      </c>
      <c r="J884" s="203">
        <v>7200000</v>
      </c>
      <c r="K884" s="203">
        <v>16816000</v>
      </c>
      <c r="L884" s="203">
        <v>866000</v>
      </c>
      <c r="M884" s="203">
        <v>1878000</v>
      </c>
      <c r="N884" s="203">
        <v>2160000</v>
      </c>
      <c r="O884" s="203">
        <v>2296000</v>
      </c>
      <c r="P884" s="366"/>
    </row>
    <row r="885" spans="1:16" s="31" customFormat="1" ht="31.5">
      <c r="A885" s="158">
        <v>2</v>
      </c>
      <c r="B885" s="200" t="s">
        <v>36</v>
      </c>
      <c r="C885" s="161" t="s">
        <v>1177</v>
      </c>
      <c r="D885" s="171" t="s">
        <v>23</v>
      </c>
      <c r="E885" s="171" t="s">
        <v>1540</v>
      </c>
      <c r="F885" s="171">
        <v>2021</v>
      </c>
      <c r="G885" s="158">
        <v>2021</v>
      </c>
      <c r="H885" s="144">
        <v>4000000</v>
      </c>
      <c r="I885" s="166">
        <v>0</v>
      </c>
      <c r="J885" s="144">
        <v>4000000</v>
      </c>
      <c r="K885" s="144">
        <v>4000000</v>
      </c>
      <c r="L885" s="203">
        <v>480000</v>
      </c>
      <c r="M885" s="203">
        <v>1041000</v>
      </c>
      <c r="N885" s="203">
        <v>1200000</v>
      </c>
      <c r="O885" s="203">
        <v>1279000</v>
      </c>
      <c r="P885" s="140"/>
    </row>
    <row r="886" spans="1:16" s="31" customFormat="1" ht="30" customHeight="1">
      <c r="A886" s="158">
        <v>3</v>
      </c>
      <c r="B886" s="200" t="s">
        <v>36</v>
      </c>
      <c r="C886" s="161" t="s">
        <v>1541</v>
      </c>
      <c r="D886" s="171" t="s">
        <v>23</v>
      </c>
      <c r="E886" s="171" t="s">
        <v>153</v>
      </c>
      <c r="F886" s="171">
        <v>2021</v>
      </c>
      <c r="G886" s="158">
        <v>2023</v>
      </c>
      <c r="H886" s="144">
        <v>2500000</v>
      </c>
      <c r="I886" s="166">
        <v>0</v>
      </c>
      <c r="J886" s="144">
        <v>2500000</v>
      </c>
      <c r="K886" s="143">
        <v>2500000</v>
      </c>
      <c r="L886" s="203">
        <v>300000</v>
      </c>
      <c r="M886" s="203">
        <v>652000</v>
      </c>
      <c r="N886" s="203">
        <v>750000</v>
      </c>
      <c r="O886" s="203">
        <v>798000</v>
      </c>
      <c r="P886" s="140"/>
    </row>
    <row r="887" spans="1:16" s="31" customFormat="1" ht="30" customHeight="1">
      <c r="A887" s="158">
        <v>4</v>
      </c>
      <c r="B887" s="200" t="s">
        <v>36</v>
      </c>
      <c r="C887" s="161" t="s">
        <v>1542</v>
      </c>
      <c r="D887" s="171" t="s">
        <v>23</v>
      </c>
      <c r="E887" s="171" t="s">
        <v>153</v>
      </c>
      <c r="F887" s="171">
        <v>2017</v>
      </c>
      <c r="G887" s="158">
        <v>2021</v>
      </c>
      <c r="H887" s="144">
        <v>8500000</v>
      </c>
      <c r="I887" s="166">
        <v>8000000</v>
      </c>
      <c r="J887" s="144">
        <v>500000</v>
      </c>
      <c r="K887" s="203">
        <v>500000</v>
      </c>
      <c r="L887" s="203">
        <v>60000</v>
      </c>
      <c r="M887" s="203">
        <v>129000</v>
      </c>
      <c r="N887" s="203">
        <v>150000</v>
      </c>
      <c r="O887" s="203">
        <v>161000</v>
      </c>
      <c r="P887" s="140"/>
    </row>
    <row r="888" spans="1:16" s="31" customFormat="1" ht="30" customHeight="1">
      <c r="A888" s="158">
        <v>5</v>
      </c>
      <c r="B888" s="200" t="s">
        <v>36</v>
      </c>
      <c r="C888" s="161" t="s">
        <v>1543</v>
      </c>
      <c r="D888" s="171" t="s">
        <v>23</v>
      </c>
      <c r="E888" s="171" t="s">
        <v>153</v>
      </c>
      <c r="F888" s="171">
        <v>2019</v>
      </c>
      <c r="G888" s="158">
        <v>2021</v>
      </c>
      <c r="H888" s="144">
        <v>2380000</v>
      </c>
      <c r="I888" s="166">
        <v>1580000</v>
      </c>
      <c r="J888" s="144">
        <v>800000</v>
      </c>
      <c r="K888" s="203">
        <v>800000</v>
      </c>
      <c r="L888" s="203">
        <v>96000</v>
      </c>
      <c r="M888" s="203">
        <v>209000</v>
      </c>
      <c r="N888" s="203">
        <v>240000</v>
      </c>
      <c r="O888" s="203">
        <v>255000</v>
      </c>
      <c r="P888" s="140"/>
    </row>
    <row r="889" spans="1:16" s="31" customFormat="1" ht="30" customHeight="1">
      <c r="A889" s="200">
        <v>6</v>
      </c>
      <c r="B889" s="200" t="s">
        <v>36</v>
      </c>
      <c r="C889" s="161" t="s">
        <v>1544</v>
      </c>
      <c r="D889" s="171" t="s">
        <v>23</v>
      </c>
      <c r="E889" s="171" t="s">
        <v>1545</v>
      </c>
      <c r="F889" s="171">
        <v>2020</v>
      </c>
      <c r="G889" s="158">
        <v>2022</v>
      </c>
      <c r="H889" s="144">
        <v>9000000</v>
      </c>
      <c r="I889" s="166">
        <v>3000000</v>
      </c>
      <c r="J889" s="144">
        <v>5498000</v>
      </c>
      <c r="K889" s="203">
        <v>5882000</v>
      </c>
      <c r="L889" s="203">
        <v>660000</v>
      </c>
      <c r="M889" s="203">
        <v>1431000</v>
      </c>
      <c r="N889" s="203">
        <v>1650000</v>
      </c>
      <c r="O889" s="203">
        <v>1757000</v>
      </c>
      <c r="P889" s="366"/>
    </row>
    <row r="890" spans="1:16" s="31" customFormat="1" ht="30" customHeight="1">
      <c r="A890" s="158">
        <v>7</v>
      </c>
      <c r="B890" s="200" t="s">
        <v>36</v>
      </c>
      <c r="C890" s="161" t="s">
        <v>1546</v>
      </c>
      <c r="D890" s="171" t="s">
        <v>23</v>
      </c>
      <c r="E890" s="171" t="s">
        <v>130</v>
      </c>
      <c r="F890" s="171">
        <v>2021</v>
      </c>
      <c r="G890" s="158">
        <v>2021</v>
      </c>
      <c r="H890" s="144">
        <v>200000</v>
      </c>
      <c r="I890" s="166">
        <v>0</v>
      </c>
      <c r="J890" s="144">
        <v>200000</v>
      </c>
      <c r="K890" s="203">
        <v>200000</v>
      </c>
      <c r="L890" s="203">
        <v>24000</v>
      </c>
      <c r="M890" s="203">
        <v>54000</v>
      </c>
      <c r="N890" s="203">
        <v>60000</v>
      </c>
      <c r="O890" s="203">
        <v>62000</v>
      </c>
      <c r="P890" s="140"/>
    </row>
    <row r="891" spans="1:16" s="31" customFormat="1" ht="63">
      <c r="A891" s="158">
        <v>8</v>
      </c>
      <c r="B891" s="200" t="s">
        <v>36</v>
      </c>
      <c r="C891" s="161" t="s">
        <v>1547</v>
      </c>
      <c r="D891" s="171" t="s">
        <v>23</v>
      </c>
      <c r="E891" s="171" t="s">
        <v>1548</v>
      </c>
      <c r="F891" s="171">
        <v>2020</v>
      </c>
      <c r="G891" s="158">
        <v>2022</v>
      </c>
      <c r="H891" s="144">
        <v>6000000</v>
      </c>
      <c r="I891" s="166">
        <v>2000000</v>
      </c>
      <c r="J891" s="144">
        <v>3000000</v>
      </c>
      <c r="K891" s="203">
        <v>3000000</v>
      </c>
      <c r="L891" s="203">
        <v>360000</v>
      </c>
      <c r="M891" s="203">
        <v>780000</v>
      </c>
      <c r="N891" s="203">
        <v>900000</v>
      </c>
      <c r="O891" s="203">
        <v>960000</v>
      </c>
      <c r="P891" s="140"/>
    </row>
    <row r="892" spans="1:16" s="31" customFormat="1" ht="22.5" customHeight="1">
      <c r="A892" s="158">
        <v>9</v>
      </c>
      <c r="B892" s="200" t="s">
        <v>36</v>
      </c>
      <c r="C892" s="161" t="s">
        <v>1549</v>
      </c>
      <c r="D892" s="171" t="s">
        <v>23</v>
      </c>
      <c r="E892" s="171" t="s">
        <v>1550</v>
      </c>
      <c r="F892" s="171">
        <v>2021</v>
      </c>
      <c r="G892" s="158">
        <v>2023</v>
      </c>
      <c r="H892" s="144">
        <v>54000000</v>
      </c>
      <c r="I892" s="166">
        <v>0</v>
      </c>
      <c r="J892" s="144">
        <v>16000000</v>
      </c>
      <c r="K892" s="203">
        <v>16000000</v>
      </c>
      <c r="L892" s="203">
        <v>1920000</v>
      </c>
      <c r="M892" s="203">
        <v>4158000</v>
      </c>
      <c r="N892" s="203">
        <v>4800000</v>
      </c>
      <c r="O892" s="203">
        <v>5122000</v>
      </c>
      <c r="P892" s="140"/>
    </row>
    <row r="893" spans="1:16" s="31" customFormat="1" ht="63.75" thickBot="1">
      <c r="A893" s="351">
        <v>10</v>
      </c>
      <c r="B893" s="200" t="s">
        <v>36</v>
      </c>
      <c r="C893" s="161" t="s">
        <v>1551</v>
      </c>
      <c r="D893" s="171" t="s">
        <v>23</v>
      </c>
      <c r="E893" s="171" t="s">
        <v>1552</v>
      </c>
      <c r="F893" s="171">
        <v>2018</v>
      </c>
      <c r="G893" s="158">
        <v>2021</v>
      </c>
      <c r="H893" s="144">
        <v>48270000</v>
      </c>
      <c r="I893" s="166">
        <v>15270000</v>
      </c>
      <c r="J893" s="144">
        <v>11000000</v>
      </c>
      <c r="K893" s="203">
        <v>11000000</v>
      </c>
      <c r="L893" s="203">
        <v>5502000</v>
      </c>
      <c r="M893" s="203">
        <v>5498000</v>
      </c>
      <c r="N893" s="203">
        <v>0</v>
      </c>
      <c r="O893" s="203">
        <v>0</v>
      </c>
      <c r="P893" s="373"/>
    </row>
    <row r="894" spans="1:16" s="31" customFormat="1" ht="30" customHeight="1" thickBot="1">
      <c r="A894" s="668" t="s">
        <v>20</v>
      </c>
      <c r="B894" s="669"/>
      <c r="C894" s="669"/>
      <c r="D894" s="669"/>
      <c r="E894" s="669"/>
      <c r="F894" s="669"/>
      <c r="G894" s="670"/>
      <c r="H894" s="146">
        <f t="shared" ref="H894:O894" si="69">SUM(H884:H893)</f>
        <v>142050000</v>
      </c>
      <c r="I894" s="146">
        <f t="shared" si="69"/>
        <v>29850000</v>
      </c>
      <c r="J894" s="146">
        <f t="shared" si="69"/>
        <v>50698000</v>
      </c>
      <c r="K894" s="146">
        <f t="shared" si="69"/>
        <v>60698000</v>
      </c>
      <c r="L894" s="146">
        <f t="shared" si="69"/>
        <v>10268000</v>
      </c>
      <c r="M894" s="146">
        <f t="shared" si="69"/>
        <v>15830000</v>
      </c>
      <c r="N894" s="146">
        <f t="shared" si="69"/>
        <v>11910000</v>
      </c>
      <c r="O894" s="146">
        <f t="shared" si="69"/>
        <v>12690000</v>
      </c>
      <c r="P894" s="118"/>
    </row>
    <row r="895" spans="1:16" s="17" customFormat="1" ht="19.5" customHeight="1" thickBot="1">
      <c r="A895" s="671"/>
      <c r="B895" s="672"/>
      <c r="C895" s="672"/>
      <c r="D895" s="672"/>
      <c r="E895" s="672"/>
      <c r="F895" s="672"/>
      <c r="G895" s="672"/>
      <c r="H895" s="672"/>
      <c r="I895" s="672"/>
      <c r="J895" s="672"/>
      <c r="K895" s="672"/>
      <c r="L895" s="672"/>
      <c r="M895" s="672"/>
      <c r="N895" s="672"/>
      <c r="O895" s="672"/>
      <c r="P895" s="673"/>
    </row>
    <row r="896" spans="1:16" ht="30" customHeight="1" thickBot="1">
      <c r="A896" s="652" t="s">
        <v>159</v>
      </c>
      <c r="B896" s="653"/>
      <c r="C896" s="653"/>
      <c r="D896" s="653"/>
      <c r="E896" s="653"/>
      <c r="F896" s="653"/>
      <c r="G896" s="653"/>
      <c r="H896" s="653"/>
      <c r="I896" s="653"/>
      <c r="J896" s="653"/>
      <c r="K896" s="653"/>
      <c r="L896" s="653"/>
      <c r="M896" s="653"/>
      <c r="N896" s="653"/>
      <c r="O896" s="653"/>
      <c r="P896" s="654"/>
    </row>
    <row r="897" spans="1:16" s="102" customFormat="1" ht="21.75" customHeight="1">
      <c r="A897" s="200">
        <v>1</v>
      </c>
      <c r="B897" s="200" t="s">
        <v>36</v>
      </c>
      <c r="C897" s="201" t="s">
        <v>1059</v>
      </c>
      <c r="D897" s="152" t="s">
        <v>23</v>
      </c>
      <c r="E897" s="152" t="s">
        <v>1060</v>
      </c>
      <c r="F897" s="152">
        <v>2021</v>
      </c>
      <c r="G897" s="202">
        <v>2021</v>
      </c>
      <c r="H897" s="203">
        <v>200000</v>
      </c>
      <c r="I897" s="384">
        <v>0</v>
      </c>
      <c r="J897" s="203">
        <v>202000</v>
      </c>
      <c r="K897" s="152">
        <v>2000</v>
      </c>
      <c r="L897" s="203">
        <v>26000</v>
      </c>
      <c r="M897" s="203">
        <v>51000</v>
      </c>
      <c r="N897" s="203">
        <v>60000</v>
      </c>
      <c r="O897" s="203">
        <v>65000</v>
      </c>
      <c r="P897" s="366"/>
    </row>
    <row r="898" spans="1:16" s="102" customFormat="1" ht="31.5">
      <c r="A898" s="158">
        <v>2</v>
      </c>
      <c r="B898" s="200" t="s">
        <v>36</v>
      </c>
      <c r="C898" s="161" t="s">
        <v>1061</v>
      </c>
      <c r="D898" s="152" t="s">
        <v>23</v>
      </c>
      <c r="E898" s="171" t="s">
        <v>1062</v>
      </c>
      <c r="F898" s="171">
        <v>2011</v>
      </c>
      <c r="G898" s="158">
        <v>2022</v>
      </c>
      <c r="H898" s="144">
        <v>178780000</v>
      </c>
      <c r="I898" s="166">
        <v>114823216.59</v>
      </c>
      <c r="J898" s="144">
        <v>29166000</v>
      </c>
      <c r="K898" s="158"/>
      <c r="L898" s="203">
        <v>3500000</v>
      </c>
      <c r="M898" s="203">
        <v>7584000</v>
      </c>
      <c r="N898" s="203">
        <v>8751000</v>
      </c>
      <c r="O898" s="203">
        <v>9331000</v>
      </c>
      <c r="P898" s="140"/>
    </row>
    <row r="899" spans="1:16" s="102" customFormat="1" ht="78.75">
      <c r="A899" s="158">
        <v>3</v>
      </c>
      <c r="B899" s="200" t="s">
        <v>36</v>
      </c>
      <c r="C899" s="161" t="s">
        <v>34</v>
      </c>
      <c r="D899" s="152" t="s">
        <v>23</v>
      </c>
      <c r="E899" s="171" t="s">
        <v>1063</v>
      </c>
      <c r="F899" s="171">
        <v>2021</v>
      </c>
      <c r="G899" s="158">
        <v>2021</v>
      </c>
      <c r="H899" s="144">
        <v>5998000</v>
      </c>
      <c r="I899" s="385">
        <v>0</v>
      </c>
      <c r="J899" s="144">
        <v>5998000</v>
      </c>
      <c r="K899" s="158"/>
      <c r="L899" s="203">
        <v>720000</v>
      </c>
      <c r="M899" s="203">
        <v>1566000</v>
      </c>
      <c r="N899" s="203">
        <v>1803000</v>
      </c>
      <c r="O899" s="203">
        <v>1909000</v>
      </c>
      <c r="P899" s="140"/>
    </row>
    <row r="900" spans="1:16" s="102" customFormat="1" ht="78.75">
      <c r="A900" s="200">
        <v>4</v>
      </c>
      <c r="B900" s="200" t="s">
        <v>36</v>
      </c>
      <c r="C900" s="161" t="s">
        <v>1064</v>
      </c>
      <c r="D900" s="152" t="s">
        <v>23</v>
      </c>
      <c r="E900" s="171" t="s">
        <v>1065</v>
      </c>
      <c r="F900" s="171">
        <v>2021</v>
      </c>
      <c r="G900" s="158">
        <v>2023</v>
      </c>
      <c r="H900" s="144">
        <v>9000000</v>
      </c>
      <c r="I900" s="386">
        <v>0</v>
      </c>
      <c r="J900" s="144">
        <v>4548000</v>
      </c>
      <c r="K900" s="158"/>
      <c r="L900" s="203">
        <v>546000</v>
      </c>
      <c r="M900" s="203">
        <v>1185000</v>
      </c>
      <c r="N900" s="203">
        <v>1365000</v>
      </c>
      <c r="O900" s="203">
        <v>1452000</v>
      </c>
      <c r="P900" s="366"/>
    </row>
    <row r="901" spans="1:16" s="102" customFormat="1" ht="31.5">
      <c r="A901" s="158">
        <v>5</v>
      </c>
      <c r="B901" s="200" t="s">
        <v>36</v>
      </c>
      <c r="C901" s="161" t="s">
        <v>1066</v>
      </c>
      <c r="D901" s="171" t="s">
        <v>23</v>
      </c>
      <c r="E901" s="171" t="s">
        <v>1067</v>
      </c>
      <c r="F901" s="171">
        <v>2021</v>
      </c>
      <c r="G901" s="158">
        <v>2021</v>
      </c>
      <c r="H901" s="144">
        <v>1000000</v>
      </c>
      <c r="I901" s="386">
        <v>0</v>
      </c>
      <c r="J901" s="144">
        <v>1000000</v>
      </c>
      <c r="K901" s="158"/>
      <c r="L901" s="144">
        <v>120000</v>
      </c>
      <c r="M901" s="144">
        <v>261000</v>
      </c>
      <c r="N901" s="144">
        <v>300000</v>
      </c>
      <c r="O901" s="144">
        <v>319000</v>
      </c>
      <c r="P901" s="140"/>
    </row>
    <row r="902" spans="1:16" s="102" customFormat="1" ht="31.5">
      <c r="A902" s="158">
        <v>6</v>
      </c>
      <c r="B902" s="200" t="s">
        <v>36</v>
      </c>
      <c r="C902" s="161" t="s">
        <v>1068</v>
      </c>
      <c r="D902" s="171" t="s">
        <v>23</v>
      </c>
      <c r="E902" s="171" t="s">
        <v>1069</v>
      </c>
      <c r="F902" s="171">
        <v>2021</v>
      </c>
      <c r="G902" s="158">
        <v>2022</v>
      </c>
      <c r="H902" s="144">
        <v>5000000</v>
      </c>
      <c r="I902" s="386">
        <v>0</v>
      </c>
      <c r="J902" s="144">
        <v>2500000</v>
      </c>
      <c r="K902" s="158"/>
      <c r="L902" s="144">
        <v>300000</v>
      </c>
      <c r="M902" s="144">
        <v>651000</v>
      </c>
      <c r="N902" s="144">
        <v>750000</v>
      </c>
      <c r="O902" s="144">
        <v>799000</v>
      </c>
      <c r="P902" s="373"/>
    </row>
    <row r="903" spans="1:16" s="102" customFormat="1" ht="48" thickBot="1">
      <c r="A903" s="158">
        <v>7</v>
      </c>
      <c r="B903" s="200" t="s">
        <v>25</v>
      </c>
      <c r="C903" s="161" t="s">
        <v>1070</v>
      </c>
      <c r="D903" s="171" t="s">
        <v>23</v>
      </c>
      <c r="E903" s="171" t="s">
        <v>1071</v>
      </c>
      <c r="F903" s="171">
        <v>2017</v>
      </c>
      <c r="G903" s="158">
        <v>2021</v>
      </c>
      <c r="H903" s="144">
        <v>2000000</v>
      </c>
      <c r="I903" s="166">
        <v>7010000</v>
      </c>
      <c r="J903" s="144">
        <v>2000000</v>
      </c>
      <c r="K903" s="158"/>
      <c r="L903" s="144">
        <v>1000000</v>
      </c>
      <c r="M903" s="144">
        <v>1000000</v>
      </c>
      <c r="N903" s="158">
        <v>0</v>
      </c>
      <c r="O903" s="158">
        <v>0</v>
      </c>
      <c r="P903" s="373"/>
    </row>
    <row r="904" spans="1:16" s="31" customFormat="1" ht="30" customHeight="1" thickBot="1">
      <c r="A904" s="668" t="s">
        <v>20</v>
      </c>
      <c r="B904" s="669"/>
      <c r="C904" s="669"/>
      <c r="D904" s="669"/>
      <c r="E904" s="669"/>
      <c r="F904" s="669"/>
      <c r="G904" s="670"/>
      <c r="H904" s="220">
        <f t="shared" ref="H904:O904" si="70">SUM(H897:H903)</f>
        <v>201978000</v>
      </c>
      <c r="I904" s="220">
        <f t="shared" si="70"/>
        <v>121833216.59</v>
      </c>
      <c r="J904" s="220">
        <f t="shared" si="70"/>
        <v>45414000</v>
      </c>
      <c r="K904" s="220">
        <f t="shared" si="70"/>
        <v>2000</v>
      </c>
      <c r="L904" s="220">
        <f t="shared" si="70"/>
        <v>6212000</v>
      </c>
      <c r="M904" s="220">
        <f t="shared" si="70"/>
        <v>12298000</v>
      </c>
      <c r="N904" s="220">
        <f t="shared" si="70"/>
        <v>13029000</v>
      </c>
      <c r="O904" s="220">
        <f t="shared" si="70"/>
        <v>13875000</v>
      </c>
      <c r="P904" s="118"/>
    </row>
    <row r="905" spans="1:16" ht="22.5" customHeight="1" thickBot="1">
      <c r="A905" s="671"/>
      <c r="B905" s="672"/>
      <c r="C905" s="672"/>
      <c r="D905" s="672"/>
      <c r="E905" s="672"/>
      <c r="F905" s="672"/>
      <c r="G905" s="672"/>
      <c r="H905" s="672"/>
      <c r="I905" s="672"/>
      <c r="J905" s="672"/>
      <c r="K905" s="672"/>
      <c r="L905" s="672"/>
      <c r="M905" s="672"/>
      <c r="N905" s="672"/>
      <c r="O905" s="672"/>
      <c r="P905" s="673"/>
    </row>
    <row r="906" spans="1:16" s="17" customFormat="1" ht="30" customHeight="1" thickBot="1">
      <c r="A906" s="652" t="s">
        <v>135</v>
      </c>
      <c r="B906" s="653"/>
      <c r="C906" s="653"/>
      <c r="D906" s="653"/>
      <c r="E906" s="653"/>
      <c r="F906" s="653"/>
      <c r="G906" s="653"/>
      <c r="H906" s="653"/>
      <c r="I906" s="653"/>
      <c r="J906" s="653"/>
      <c r="K906" s="653"/>
      <c r="L906" s="653"/>
      <c r="M906" s="653"/>
      <c r="N906" s="653"/>
      <c r="O906" s="653"/>
      <c r="P906" s="654"/>
    </row>
    <row r="907" spans="1:16" s="101" customFormat="1" ht="78.75">
      <c r="A907" s="200">
        <v>1</v>
      </c>
      <c r="B907" s="200" t="s">
        <v>36</v>
      </c>
      <c r="C907" s="165" t="s">
        <v>133</v>
      </c>
      <c r="D907" s="165" t="s">
        <v>187</v>
      </c>
      <c r="E907" s="165" t="s">
        <v>136</v>
      </c>
      <c r="F907" s="165">
        <v>2020</v>
      </c>
      <c r="G907" s="165">
        <v>2022</v>
      </c>
      <c r="H907" s="169">
        <v>7000000</v>
      </c>
      <c r="I907" s="169">
        <v>4000000</v>
      </c>
      <c r="J907" s="169">
        <v>1500000</v>
      </c>
      <c r="K907" s="295">
        <v>0</v>
      </c>
      <c r="L907" s="168">
        <v>180000</v>
      </c>
      <c r="M907" s="168">
        <v>390000</v>
      </c>
      <c r="N907" s="168">
        <v>450000</v>
      </c>
      <c r="O907" s="168">
        <v>480000</v>
      </c>
      <c r="P907" s="165" t="s">
        <v>347</v>
      </c>
    </row>
    <row r="908" spans="1:16" s="101" customFormat="1" ht="47.25">
      <c r="A908" s="158">
        <v>2</v>
      </c>
      <c r="B908" s="200" t="s">
        <v>36</v>
      </c>
      <c r="C908" s="165" t="s">
        <v>137</v>
      </c>
      <c r="D908" s="165" t="s">
        <v>187</v>
      </c>
      <c r="E908" s="165" t="s">
        <v>138</v>
      </c>
      <c r="F908" s="165">
        <v>2021</v>
      </c>
      <c r="G908" s="165">
        <v>2021</v>
      </c>
      <c r="H908" s="169">
        <v>500000</v>
      </c>
      <c r="I908" s="165">
        <v>0</v>
      </c>
      <c r="J908" s="169">
        <v>500000</v>
      </c>
      <c r="K908" s="295">
        <v>0</v>
      </c>
      <c r="L908" s="168">
        <v>200000</v>
      </c>
      <c r="M908" s="168">
        <v>300000</v>
      </c>
      <c r="N908" s="168">
        <v>0</v>
      </c>
      <c r="O908" s="168">
        <v>0</v>
      </c>
      <c r="P908" s="165" t="s">
        <v>348</v>
      </c>
    </row>
    <row r="909" spans="1:16" s="101" customFormat="1" ht="47.25">
      <c r="A909" s="158">
        <v>3</v>
      </c>
      <c r="B909" s="200" t="s">
        <v>36</v>
      </c>
      <c r="C909" s="296" t="s">
        <v>134</v>
      </c>
      <c r="D909" s="296" t="s">
        <v>187</v>
      </c>
      <c r="E909" s="296" t="s">
        <v>139</v>
      </c>
      <c r="F909" s="296">
        <v>2021</v>
      </c>
      <c r="G909" s="296">
        <v>2021</v>
      </c>
      <c r="H909" s="297">
        <v>900000</v>
      </c>
      <c r="I909" s="296">
        <v>0</v>
      </c>
      <c r="J909" s="297">
        <v>900000</v>
      </c>
      <c r="K909" s="295">
        <v>0</v>
      </c>
      <c r="L909" s="168">
        <v>108000</v>
      </c>
      <c r="M909" s="168">
        <v>234000</v>
      </c>
      <c r="N909" s="168">
        <v>270000</v>
      </c>
      <c r="O909" s="168">
        <v>288000</v>
      </c>
      <c r="P909" s="296" t="s">
        <v>349</v>
      </c>
    </row>
    <row r="910" spans="1:16" s="101" customFormat="1" ht="47.25">
      <c r="A910" s="158">
        <v>4</v>
      </c>
      <c r="B910" s="200" t="s">
        <v>36</v>
      </c>
      <c r="C910" s="296" t="s">
        <v>341</v>
      </c>
      <c r="D910" s="296" t="s">
        <v>187</v>
      </c>
      <c r="E910" s="296" t="s">
        <v>140</v>
      </c>
      <c r="F910" s="296">
        <v>2021</v>
      </c>
      <c r="G910" s="296">
        <v>2021</v>
      </c>
      <c r="H910" s="297">
        <v>6650000</v>
      </c>
      <c r="I910" s="296">
        <v>0</v>
      </c>
      <c r="J910" s="297">
        <v>6650000</v>
      </c>
      <c r="K910" s="295">
        <v>0</v>
      </c>
      <c r="L910" s="168">
        <v>798000</v>
      </c>
      <c r="M910" s="168">
        <v>1731000</v>
      </c>
      <c r="N910" s="168">
        <v>1995000</v>
      </c>
      <c r="O910" s="168">
        <v>2126000</v>
      </c>
      <c r="P910" s="296" t="s">
        <v>350</v>
      </c>
    </row>
    <row r="911" spans="1:16" s="101" customFormat="1" ht="63">
      <c r="A911" s="200">
        <v>5</v>
      </c>
      <c r="B911" s="200" t="s">
        <v>36</v>
      </c>
      <c r="C911" s="165" t="s">
        <v>132</v>
      </c>
      <c r="D911" s="296" t="s">
        <v>187</v>
      </c>
      <c r="E911" s="165" t="s">
        <v>344</v>
      </c>
      <c r="F911" s="165">
        <v>2012</v>
      </c>
      <c r="G911" s="165">
        <v>2022</v>
      </c>
      <c r="H911" s="297">
        <v>210249600</v>
      </c>
      <c r="I911" s="297">
        <v>81121653</v>
      </c>
      <c r="J911" s="297">
        <v>72000000</v>
      </c>
      <c r="K911" s="295">
        <v>0</v>
      </c>
      <c r="L911" s="168">
        <v>8500000</v>
      </c>
      <c r="M911" s="168">
        <v>18552000</v>
      </c>
      <c r="N911" s="168">
        <v>21750000</v>
      </c>
      <c r="O911" s="168">
        <v>23198000</v>
      </c>
      <c r="P911" s="165"/>
    </row>
    <row r="912" spans="1:16" s="101" customFormat="1" ht="47.25">
      <c r="A912" s="158">
        <v>6</v>
      </c>
      <c r="B912" s="200" t="s">
        <v>36</v>
      </c>
      <c r="C912" s="165" t="s">
        <v>342</v>
      </c>
      <c r="D912" s="165" t="s">
        <v>187</v>
      </c>
      <c r="E912" s="165" t="s">
        <v>345</v>
      </c>
      <c r="F912" s="165">
        <v>2021</v>
      </c>
      <c r="G912" s="165">
        <v>2021</v>
      </c>
      <c r="H912" s="169">
        <v>350000</v>
      </c>
      <c r="I912" s="165">
        <v>0</v>
      </c>
      <c r="J912" s="169">
        <v>350000</v>
      </c>
      <c r="K912" s="295">
        <v>0</v>
      </c>
      <c r="L912" s="168">
        <v>42000</v>
      </c>
      <c r="M912" s="168">
        <v>93000</v>
      </c>
      <c r="N912" s="168">
        <v>105000</v>
      </c>
      <c r="O912" s="168">
        <v>110000</v>
      </c>
      <c r="P912" s="165"/>
    </row>
    <row r="913" spans="1:16" s="101" customFormat="1" ht="48" thickBot="1">
      <c r="A913" s="351">
        <v>7</v>
      </c>
      <c r="B913" s="200" t="s">
        <v>36</v>
      </c>
      <c r="C913" s="165" t="s">
        <v>343</v>
      </c>
      <c r="D913" s="165" t="s">
        <v>187</v>
      </c>
      <c r="E913" s="165" t="s">
        <v>346</v>
      </c>
      <c r="F913" s="165">
        <v>2021</v>
      </c>
      <c r="G913" s="165">
        <v>2021</v>
      </c>
      <c r="H913" s="169">
        <v>1500000</v>
      </c>
      <c r="I913" s="169">
        <v>0</v>
      </c>
      <c r="J913" s="169">
        <v>1500000</v>
      </c>
      <c r="K913" s="295">
        <v>0</v>
      </c>
      <c r="L913" s="168">
        <v>180000</v>
      </c>
      <c r="M913" s="168">
        <v>390000</v>
      </c>
      <c r="N913" s="168">
        <v>450000</v>
      </c>
      <c r="O913" s="168">
        <v>480000</v>
      </c>
      <c r="P913" s="165" t="s">
        <v>351</v>
      </c>
    </row>
    <row r="914" spans="1:16" s="104" customFormat="1" ht="30" customHeight="1" thickBot="1">
      <c r="A914" s="668" t="s">
        <v>20</v>
      </c>
      <c r="B914" s="669"/>
      <c r="C914" s="669"/>
      <c r="D914" s="669"/>
      <c r="E914" s="669"/>
      <c r="F914" s="669"/>
      <c r="G914" s="670"/>
      <c r="H914" s="146">
        <f t="shared" ref="H914:O914" si="71">SUM(H907:H913)</f>
        <v>227149600</v>
      </c>
      <c r="I914" s="146">
        <f t="shared" si="71"/>
        <v>85121653</v>
      </c>
      <c r="J914" s="146">
        <f t="shared" si="71"/>
        <v>83400000</v>
      </c>
      <c r="K914" s="146">
        <f t="shared" si="71"/>
        <v>0</v>
      </c>
      <c r="L914" s="146">
        <f t="shared" si="71"/>
        <v>10008000</v>
      </c>
      <c r="M914" s="146">
        <f t="shared" si="71"/>
        <v>21690000</v>
      </c>
      <c r="N914" s="146">
        <f t="shared" si="71"/>
        <v>25020000</v>
      </c>
      <c r="O914" s="146">
        <f t="shared" si="71"/>
        <v>26682000</v>
      </c>
      <c r="P914" s="118"/>
    </row>
    <row r="915" spans="1:16" s="17" customFormat="1" ht="20.25" customHeight="1" thickBot="1">
      <c r="A915" s="671"/>
      <c r="B915" s="672"/>
      <c r="C915" s="672"/>
      <c r="D915" s="672"/>
      <c r="E915" s="672"/>
      <c r="F915" s="672"/>
      <c r="G915" s="672"/>
      <c r="H915" s="672"/>
      <c r="I915" s="672"/>
      <c r="J915" s="672"/>
      <c r="K915" s="672"/>
      <c r="L915" s="672"/>
      <c r="M915" s="672"/>
      <c r="N915" s="672"/>
      <c r="O915" s="672"/>
      <c r="P915" s="673"/>
    </row>
    <row r="916" spans="1:16" ht="30" customHeight="1">
      <c r="A916" s="655" t="s">
        <v>158</v>
      </c>
      <c r="B916" s="656"/>
      <c r="C916" s="656"/>
      <c r="D916" s="656"/>
      <c r="E916" s="656"/>
      <c r="F916" s="656"/>
      <c r="G916" s="656"/>
      <c r="H916" s="656"/>
      <c r="I916" s="656"/>
      <c r="J916" s="656"/>
      <c r="K916" s="656"/>
      <c r="L916" s="656"/>
      <c r="M916" s="656"/>
      <c r="N916" s="656"/>
      <c r="O916" s="656"/>
      <c r="P916" s="657"/>
    </row>
    <row r="917" spans="1:16" ht="45.75" customHeight="1">
      <c r="A917" s="374">
        <v>1</v>
      </c>
      <c r="B917" s="200" t="s">
        <v>25</v>
      </c>
      <c r="C917" s="243" t="s">
        <v>1164</v>
      </c>
      <c r="D917" s="298" t="s">
        <v>187</v>
      </c>
      <c r="E917" s="298" t="s">
        <v>1171</v>
      </c>
      <c r="F917" s="299">
        <v>2021</v>
      </c>
      <c r="G917" s="299">
        <v>2022</v>
      </c>
      <c r="H917" s="335">
        <v>11550000</v>
      </c>
      <c r="I917" s="507">
        <v>0</v>
      </c>
      <c r="J917" s="507">
        <v>4600000</v>
      </c>
      <c r="K917" s="507"/>
      <c r="L917" s="507">
        <v>1150000</v>
      </c>
      <c r="M917" s="507">
        <v>1150000</v>
      </c>
      <c r="N917" s="507">
        <v>1150000</v>
      </c>
      <c r="O917" s="507">
        <v>1150000</v>
      </c>
      <c r="P917" s="242"/>
    </row>
    <row r="918" spans="1:16" ht="15.75">
      <c r="A918" s="374">
        <v>2</v>
      </c>
      <c r="B918" s="200" t="s">
        <v>25</v>
      </c>
      <c r="C918" s="139" t="s">
        <v>1165</v>
      </c>
      <c r="D918" s="298" t="s">
        <v>187</v>
      </c>
      <c r="E918" s="298" t="s">
        <v>1171</v>
      </c>
      <c r="F918" s="299">
        <v>2020</v>
      </c>
      <c r="G918" s="299">
        <v>2022</v>
      </c>
      <c r="H918" s="335">
        <v>21337500</v>
      </c>
      <c r="I918" s="507">
        <v>0</v>
      </c>
      <c r="J918" s="507">
        <v>12250000</v>
      </c>
      <c r="K918" s="507">
        <v>0</v>
      </c>
      <c r="L918" s="507">
        <v>3062500</v>
      </c>
      <c r="M918" s="507">
        <v>3062500</v>
      </c>
      <c r="N918" s="507">
        <v>3062500</v>
      </c>
      <c r="O918" s="507">
        <v>3062500</v>
      </c>
      <c r="P918" s="229"/>
    </row>
    <row r="919" spans="1:16" ht="35.25" customHeight="1">
      <c r="A919" s="374">
        <v>3</v>
      </c>
      <c r="B919" s="200" t="s">
        <v>25</v>
      </c>
      <c r="C919" s="139" t="s">
        <v>1166</v>
      </c>
      <c r="D919" s="298" t="s">
        <v>187</v>
      </c>
      <c r="E919" s="298" t="s">
        <v>1171</v>
      </c>
      <c r="F919" s="299">
        <v>2021</v>
      </c>
      <c r="G919" s="299">
        <v>2022</v>
      </c>
      <c r="H919" s="335">
        <v>15375000</v>
      </c>
      <c r="I919" s="507">
        <v>0</v>
      </c>
      <c r="J919" s="507">
        <v>4500000</v>
      </c>
      <c r="K919" s="507">
        <v>0</v>
      </c>
      <c r="L919" s="507">
        <v>1125000</v>
      </c>
      <c r="M919" s="507">
        <v>1125000</v>
      </c>
      <c r="N919" s="507">
        <v>1125000</v>
      </c>
      <c r="O919" s="507">
        <v>1125000</v>
      </c>
      <c r="P919" s="242"/>
    </row>
    <row r="920" spans="1:16" ht="35.25" customHeight="1">
      <c r="A920" s="374">
        <v>4</v>
      </c>
      <c r="B920" s="200" t="s">
        <v>25</v>
      </c>
      <c r="C920" s="139" t="s">
        <v>1167</v>
      </c>
      <c r="D920" s="298" t="s">
        <v>187</v>
      </c>
      <c r="E920" s="298" t="s">
        <v>1171</v>
      </c>
      <c r="F920" s="299">
        <v>2021</v>
      </c>
      <c r="G920" s="299">
        <v>2022</v>
      </c>
      <c r="H920" s="335">
        <v>25650000</v>
      </c>
      <c r="I920" s="507">
        <v>0</v>
      </c>
      <c r="J920" s="507">
        <v>8600000</v>
      </c>
      <c r="K920" s="507">
        <v>0</v>
      </c>
      <c r="L920" s="507">
        <v>2150000</v>
      </c>
      <c r="M920" s="507">
        <v>2150000</v>
      </c>
      <c r="N920" s="507">
        <v>2150000</v>
      </c>
      <c r="O920" s="507">
        <v>2150000</v>
      </c>
      <c r="P920" s="242"/>
    </row>
    <row r="921" spans="1:16" ht="35.25" customHeight="1">
      <c r="A921" s="374">
        <v>5</v>
      </c>
      <c r="B921" s="200" t="s">
        <v>25</v>
      </c>
      <c r="C921" s="139" t="s">
        <v>35</v>
      </c>
      <c r="D921" s="298" t="s">
        <v>187</v>
      </c>
      <c r="E921" s="334" t="s">
        <v>750</v>
      </c>
      <c r="F921" s="299">
        <v>2021</v>
      </c>
      <c r="G921" s="299">
        <v>2021</v>
      </c>
      <c r="H921" s="335">
        <v>4998000</v>
      </c>
      <c r="I921" s="507">
        <v>0</v>
      </c>
      <c r="J921" s="507">
        <v>4998000</v>
      </c>
      <c r="K921" s="507">
        <v>0</v>
      </c>
      <c r="L921" s="507">
        <v>1249500</v>
      </c>
      <c r="M921" s="507">
        <v>1249500</v>
      </c>
      <c r="N921" s="507">
        <v>1249500</v>
      </c>
      <c r="O921" s="507">
        <v>1249500</v>
      </c>
      <c r="P921" s="242"/>
    </row>
    <row r="922" spans="1:16" ht="15.75">
      <c r="A922" s="374">
        <v>6</v>
      </c>
      <c r="B922" s="200" t="s">
        <v>25</v>
      </c>
      <c r="C922" s="139" t="s">
        <v>1168</v>
      </c>
      <c r="D922" s="298" t="s">
        <v>187</v>
      </c>
      <c r="E922" s="259" t="s">
        <v>1172</v>
      </c>
      <c r="F922" s="299">
        <v>2021</v>
      </c>
      <c r="G922" s="299">
        <v>2021</v>
      </c>
      <c r="H922" s="335">
        <v>800000</v>
      </c>
      <c r="I922" s="507">
        <v>0</v>
      </c>
      <c r="J922" s="507">
        <v>200000</v>
      </c>
      <c r="K922" s="507">
        <v>0</v>
      </c>
      <c r="L922" s="507">
        <v>50000</v>
      </c>
      <c r="M922" s="507">
        <v>50000</v>
      </c>
      <c r="N922" s="507">
        <v>50000</v>
      </c>
      <c r="O922" s="507">
        <v>50000</v>
      </c>
      <c r="P922" s="229"/>
    </row>
    <row r="923" spans="1:16" ht="40.5" customHeight="1">
      <c r="A923" s="374">
        <v>7</v>
      </c>
      <c r="B923" s="200" t="s">
        <v>36</v>
      </c>
      <c r="C923" s="139" t="s">
        <v>134</v>
      </c>
      <c r="D923" s="298" t="s">
        <v>187</v>
      </c>
      <c r="E923" s="259" t="s">
        <v>139</v>
      </c>
      <c r="F923" s="299">
        <v>2021</v>
      </c>
      <c r="G923" s="299">
        <v>2021</v>
      </c>
      <c r="H923" s="335">
        <v>1000000</v>
      </c>
      <c r="I923" s="507">
        <v>0</v>
      </c>
      <c r="J923" s="507">
        <v>1000000</v>
      </c>
      <c r="K923" s="507">
        <v>0</v>
      </c>
      <c r="L923" s="507">
        <v>250000</v>
      </c>
      <c r="M923" s="507">
        <v>250000</v>
      </c>
      <c r="N923" s="507">
        <v>250000</v>
      </c>
      <c r="O923" s="507">
        <v>250000</v>
      </c>
      <c r="P923" s="242"/>
    </row>
    <row r="924" spans="1:16" ht="40.5" customHeight="1">
      <c r="A924" s="374">
        <v>8</v>
      </c>
      <c r="B924" s="200" t="s">
        <v>25</v>
      </c>
      <c r="C924" s="139" t="s">
        <v>133</v>
      </c>
      <c r="D924" s="298" t="s">
        <v>187</v>
      </c>
      <c r="E924" s="259" t="s">
        <v>744</v>
      </c>
      <c r="F924" s="299">
        <v>2021</v>
      </c>
      <c r="G924" s="299">
        <v>2023</v>
      </c>
      <c r="H924" s="335">
        <v>6000000</v>
      </c>
      <c r="I924" s="507">
        <v>0</v>
      </c>
      <c r="J924" s="507">
        <v>1000000</v>
      </c>
      <c r="K924" s="507">
        <v>0</v>
      </c>
      <c r="L924" s="507">
        <v>250000</v>
      </c>
      <c r="M924" s="507">
        <v>250000</v>
      </c>
      <c r="N924" s="507">
        <v>250000</v>
      </c>
      <c r="O924" s="507">
        <v>250000</v>
      </c>
      <c r="P924" s="242"/>
    </row>
    <row r="925" spans="1:16" ht="189">
      <c r="A925" s="374">
        <v>9</v>
      </c>
      <c r="B925" s="200" t="s">
        <v>36</v>
      </c>
      <c r="C925" s="139" t="s">
        <v>1169</v>
      </c>
      <c r="D925" s="298" t="s">
        <v>187</v>
      </c>
      <c r="E925" s="259" t="s">
        <v>153</v>
      </c>
      <c r="F925" s="299">
        <v>2020</v>
      </c>
      <c r="G925" s="299">
        <v>2023</v>
      </c>
      <c r="H925" s="335">
        <v>122683000</v>
      </c>
      <c r="I925" s="335">
        <v>30000000</v>
      </c>
      <c r="J925" s="507">
        <v>30000000</v>
      </c>
      <c r="K925" s="507">
        <v>0</v>
      </c>
      <c r="L925" s="507">
        <v>7500000</v>
      </c>
      <c r="M925" s="507">
        <v>7500000</v>
      </c>
      <c r="N925" s="507">
        <v>7500000</v>
      </c>
      <c r="O925" s="507">
        <v>7500000</v>
      </c>
      <c r="P925" s="229" t="s">
        <v>1173</v>
      </c>
    </row>
    <row r="926" spans="1:16" s="31" customFormat="1" ht="34.5" customHeight="1" thickBot="1">
      <c r="A926" s="374">
        <v>10</v>
      </c>
      <c r="B926" s="200" t="s">
        <v>36</v>
      </c>
      <c r="C926" s="139" t="s">
        <v>1170</v>
      </c>
      <c r="D926" s="298" t="s">
        <v>187</v>
      </c>
      <c r="E926" s="259" t="s">
        <v>145</v>
      </c>
      <c r="F926" s="299">
        <v>2021</v>
      </c>
      <c r="G926" s="299">
        <v>2021</v>
      </c>
      <c r="H926" s="335">
        <v>1099000</v>
      </c>
      <c r="I926" s="507">
        <v>0</v>
      </c>
      <c r="J926" s="507">
        <v>1099000</v>
      </c>
      <c r="K926" s="507">
        <v>0</v>
      </c>
      <c r="L926" s="507">
        <v>274750</v>
      </c>
      <c r="M926" s="507">
        <v>274750</v>
      </c>
      <c r="N926" s="507">
        <v>274750</v>
      </c>
      <c r="O926" s="507">
        <v>274750</v>
      </c>
      <c r="P926" s="242"/>
    </row>
    <row r="927" spans="1:16" s="33" customFormat="1" ht="30" customHeight="1" thickBot="1">
      <c r="A927" s="668" t="s">
        <v>20</v>
      </c>
      <c r="B927" s="669"/>
      <c r="C927" s="669"/>
      <c r="D927" s="669"/>
      <c r="E927" s="669"/>
      <c r="F927" s="669"/>
      <c r="G927" s="670"/>
      <c r="H927" s="564">
        <f t="shared" ref="H927:O927" si="72">SUM(H917:H926)</f>
        <v>210492500</v>
      </c>
      <c r="I927" s="564">
        <f t="shared" si="72"/>
        <v>30000000</v>
      </c>
      <c r="J927" s="564">
        <f t="shared" si="72"/>
        <v>68247000</v>
      </c>
      <c r="K927" s="564">
        <f t="shared" si="72"/>
        <v>0</v>
      </c>
      <c r="L927" s="564">
        <f t="shared" si="72"/>
        <v>17061750</v>
      </c>
      <c r="M927" s="564">
        <f t="shared" si="72"/>
        <v>17061750</v>
      </c>
      <c r="N927" s="564">
        <f t="shared" si="72"/>
        <v>17061750</v>
      </c>
      <c r="O927" s="564">
        <f t="shared" si="72"/>
        <v>17061750</v>
      </c>
      <c r="P927" s="241"/>
    </row>
    <row r="928" spans="1:16" ht="15.75" thickBot="1">
      <c r="A928" s="724"/>
      <c r="B928" s="725"/>
      <c r="C928" s="725"/>
      <c r="D928" s="725"/>
      <c r="E928" s="725"/>
      <c r="F928" s="725"/>
      <c r="G928" s="725"/>
      <c r="H928" s="725"/>
      <c r="I928" s="725"/>
      <c r="J928" s="725"/>
      <c r="K928" s="725"/>
      <c r="L928" s="725"/>
      <c r="M928" s="725"/>
      <c r="N928" s="725"/>
      <c r="O928" s="725"/>
      <c r="P928" s="726"/>
    </row>
    <row r="929" spans="1:16" ht="31.5" customHeight="1" thickBot="1">
      <c r="A929" s="652" t="s">
        <v>1876</v>
      </c>
      <c r="B929" s="653"/>
      <c r="C929" s="653"/>
      <c r="D929" s="653"/>
      <c r="E929" s="653"/>
      <c r="F929" s="560"/>
      <c r="G929" s="560"/>
      <c r="H929" s="556"/>
      <c r="I929" s="556"/>
      <c r="J929" s="556"/>
      <c r="K929" s="556"/>
      <c r="L929" s="556"/>
      <c r="M929" s="556"/>
      <c r="N929" s="556"/>
      <c r="O929" s="556"/>
      <c r="P929" s="115"/>
    </row>
    <row r="930" spans="1:16" ht="40.5" customHeight="1">
      <c r="A930" s="158">
        <v>1</v>
      </c>
      <c r="B930" s="158" t="s">
        <v>36</v>
      </c>
      <c r="C930" s="201" t="s">
        <v>1168</v>
      </c>
      <c r="D930" s="152" t="s">
        <v>1885</v>
      </c>
      <c r="E930" s="152" t="s">
        <v>1886</v>
      </c>
      <c r="F930" s="152">
        <v>2020</v>
      </c>
      <c r="G930" s="202">
        <v>2021</v>
      </c>
      <c r="H930" s="203">
        <v>1595000</v>
      </c>
      <c r="I930" s="219"/>
      <c r="J930" s="203">
        <v>250000</v>
      </c>
      <c r="K930" s="152"/>
      <c r="L930" s="144">
        <f>J930/4</f>
        <v>62500</v>
      </c>
      <c r="M930" s="144">
        <v>62500</v>
      </c>
      <c r="N930" s="144">
        <v>62500</v>
      </c>
      <c r="O930" s="144">
        <v>62500</v>
      </c>
      <c r="P930" s="158"/>
    </row>
    <row r="931" spans="1:16" ht="36.75" customHeight="1">
      <c r="A931" s="158">
        <v>2</v>
      </c>
      <c r="B931" s="158" t="s">
        <v>36</v>
      </c>
      <c r="C931" s="161" t="s">
        <v>1887</v>
      </c>
      <c r="D931" s="171" t="s">
        <v>1189</v>
      </c>
      <c r="E931" s="171"/>
      <c r="F931" s="171">
        <v>1996</v>
      </c>
      <c r="G931" s="158">
        <v>2022</v>
      </c>
      <c r="H931" s="144">
        <v>4700000</v>
      </c>
      <c r="I931" s="166"/>
      <c r="J931" s="144">
        <v>2000</v>
      </c>
      <c r="K931" s="158"/>
      <c r="L931" s="144">
        <v>2000</v>
      </c>
      <c r="M931" s="144"/>
      <c r="N931" s="144"/>
      <c r="O931" s="144"/>
      <c r="P931" s="158"/>
    </row>
    <row r="932" spans="1:16" ht="42.75" customHeight="1">
      <c r="A932" s="158">
        <v>3</v>
      </c>
      <c r="B932" s="158" t="s">
        <v>36</v>
      </c>
      <c r="C932" s="161" t="s">
        <v>133</v>
      </c>
      <c r="D932" s="171" t="s">
        <v>1888</v>
      </c>
      <c r="E932" s="171" t="s">
        <v>1889</v>
      </c>
      <c r="F932" s="171">
        <v>2020</v>
      </c>
      <c r="G932" s="158">
        <v>2022</v>
      </c>
      <c r="H932" s="144">
        <v>6000000</v>
      </c>
      <c r="I932" s="166"/>
      <c r="J932" s="144">
        <v>2500000</v>
      </c>
      <c r="K932" s="158"/>
      <c r="L932" s="144">
        <v>224200</v>
      </c>
      <c r="M932" s="144"/>
      <c r="N932" s="144"/>
      <c r="O932" s="144"/>
      <c r="P932" s="158"/>
    </row>
    <row r="933" spans="1:16" ht="40.5" customHeight="1">
      <c r="A933" s="158">
        <v>4</v>
      </c>
      <c r="B933" s="158" t="s">
        <v>36</v>
      </c>
      <c r="C933" s="161" t="s">
        <v>35</v>
      </c>
      <c r="D933" s="171" t="s">
        <v>1890</v>
      </c>
      <c r="E933" s="171" t="s">
        <v>1891</v>
      </c>
      <c r="F933" s="171">
        <v>2021</v>
      </c>
      <c r="G933" s="158">
        <v>2021</v>
      </c>
      <c r="H933" s="144">
        <v>6498000</v>
      </c>
      <c r="I933" s="167"/>
      <c r="J933" s="144">
        <v>6498000</v>
      </c>
      <c r="K933" s="158"/>
      <c r="L933" s="144">
        <v>426340</v>
      </c>
      <c r="M933" s="144"/>
      <c r="N933" s="144"/>
      <c r="O933" s="144"/>
      <c r="P933" s="158"/>
    </row>
    <row r="934" spans="1:16" ht="36.75" customHeight="1">
      <c r="A934" s="158">
        <v>5</v>
      </c>
      <c r="B934" s="158" t="s">
        <v>36</v>
      </c>
      <c r="C934" s="161" t="s">
        <v>134</v>
      </c>
      <c r="D934" s="171" t="s">
        <v>1892</v>
      </c>
      <c r="E934" s="171" t="s">
        <v>1893</v>
      </c>
      <c r="F934" s="171">
        <v>2021</v>
      </c>
      <c r="G934" s="158">
        <v>2021</v>
      </c>
      <c r="H934" s="144">
        <v>1250000</v>
      </c>
      <c r="I934" s="167"/>
      <c r="J934" s="144">
        <v>1250000</v>
      </c>
      <c r="K934" s="158"/>
      <c r="L934" s="144">
        <f>J934/4</f>
        <v>312500</v>
      </c>
      <c r="M934" s="144">
        <v>312500</v>
      </c>
      <c r="N934" s="144">
        <v>312500</v>
      </c>
      <c r="O934" s="144">
        <v>312500</v>
      </c>
      <c r="P934" s="158"/>
    </row>
    <row r="935" spans="1:16" ht="48" thickBot="1">
      <c r="A935" s="158">
        <v>6</v>
      </c>
      <c r="B935" s="158" t="s">
        <v>36</v>
      </c>
      <c r="C935" s="525" t="s">
        <v>1894</v>
      </c>
      <c r="D935" s="526" t="s">
        <v>1892</v>
      </c>
      <c r="E935" s="526" t="s">
        <v>1895</v>
      </c>
      <c r="F935" s="526">
        <v>2020</v>
      </c>
      <c r="G935" s="527">
        <v>2023</v>
      </c>
      <c r="H935" s="528">
        <v>15000000</v>
      </c>
      <c r="I935" s="529"/>
      <c r="J935" s="528">
        <v>6000000</v>
      </c>
      <c r="K935" s="527"/>
      <c r="L935" s="144">
        <v>740000</v>
      </c>
      <c r="M935" s="144"/>
      <c r="N935" s="144"/>
      <c r="O935" s="144"/>
      <c r="P935" s="158"/>
    </row>
    <row r="936" spans="1:16" ht="29.25" customHeight="1">
      <c r="A936" s="707" t="s">
        <v>20</v>
      </c>
      <c r="B936" s="707"/>
      <c r="C936" s="707"/>
      <c r="D936" s="707"/>
      <c r="E936" s="707"/>
      <c r="F936" s="707"/>
      <c r="G936" s="707"/>
      <c r="H936" s="406">
        <f>SUM(H930:H935)</f>
        <v>35043000</v>
      </c>
      <c r="I936" s="406">
        <f t="shared" ref="I936:O936" si="73">SUM(I930:I935)</f>
        <v>0</v>
      </c>
      <c r="J936" s="406">
        <f t="shared" si="73"/>
        <v>16500000</v>
      </c>
      <c r="K936" s="406">
        <f t="shared" si="73"/>
        <v>0</v>
      </c>
      <c r="L936" s="406">
        <f t="shared" si="73"/>
        <v>1767540</v>
      </c>
      <c r="M936" s="406">
        <f t="shared" si="73"/>
        <v>375000</v>
      </c>
      <c r="N936" s="406">
        <f t="shared" si="73"/>
        <v>375000</v>
      </c>
      <c r="O936" s="406">
        <f t="shared" si="73"/>
        <v>375000</v>
      </c>
      <c r="P936" s="521"/>
    </row>
    <row r="937" spans="1:16" ht="15.75" thickBot="1">
      <c r="A937" s="723"/>
      <c r="B937" s="723"/>
      <c r="C937" s="723"/>
      <c r="D937" s="723"/>
      <c r="E937" s="723"/>
      <c r="F937" s="723"/>
      <c r="G937" s="723"/>
      <c r="H937" s="723"/>
      <c r="I937" s="723"/>
      <c r="J937" s="723"/>
      <c r="K937" s="723"/>
      <c r="L937" s="723"/>
      <c r="M937" s="723"/>
      <c r="N937" s="723"/>
      <c r="O937" s="723"/>
      <c r="P937" s="723"/>
    </row>
    <row r="938" spans="1:16" ht="30" customHeight="1" thickBot="1">
      <c r="A938" s="652" t="s">
        <v>164</v>
      </c>
      <c r="B938" s="653"/>
      <c r="C938" s="653"/>
      <c r="D938" s="653"/>
      <c r="E938" s="653"/>
      <c r="F938" s="560"/>
      <c r="G938" s="560"/>
      <c r="H938" s="556"/>
      <c r="I938" s="556"/>
      <c r="J938" s="556"/>
      <c r="K938" s="556"/>
      <c r="L938" s="556"/>
      <c r="M938" s="556"/>
      <c r="N938" s="556"/>
      <c r="O938" s="556"/>
      <c r="P938" s="115"/>
    </row>
    <row r="939" spans="1:16" s="102" customFormat="1" ht="52.5" customHeight="1">
      <c r="A939" s="200">
        <v>1</v>
      </c>
      <c r="B939" s="171" t="s">
        <v>36</v>
      </c>
      <c r="C939" s="140" t="s">
        <v>1644</v>
      </c>
      <c r="D939" s="171" t="s">
        <v>821</v>
      </c>
      <c r="E939" s="152" t="s">
        <v>1645</v>
      </c>
      <c r="F939" s="152">
        <v>2021</v>
      </c>
      <c r="G939" s="202">
        <v>2021</v>
      </c>
      <c r="H939" s="203">
        <v>1000000</v>
      </c>
      <c r="I939" s="159">
        <v>0</v>
      </c>
      <c r="J939" s="203">
        <v>1000000</v>
      </c>
      <c r="K939" s="159"/>
      <c r="L939" s="159">
        <v>120050</v>
      </c>
      <c r="M939" s="159">
        <v>260008</v>
      </c>
      <c r="N939" s="257">
        <v>300015</v>
      </c>
      <c r="O939" s="257">
        <v>319927</v>
      </c>
      <c r="P939" s="366"/>
    </row>
    <row r="940" spans="1:16" s="102" customFormat="1" ht="47.25">
      <c r="A940" s="158">
        <v>2</v>
      </c>
      <c r="B940" s="171" t="s">
        <v>36</v>
      </c>
      <c r="C940" s="140" t="s">
        <v>1646</v>
      </c>
      <c r="D940" s="171" t="s">
        <v>1647</v>
      </c>
      <c r="E940" s="171" t="s">
        <v>1648</v>
      </c>
      <c r="F940" s="171">
        <v>2020</v>
      </c>
      <c r="G940" s="158">
        <v>2022</v>
      </c>
      <c r="H940" s="144">
        <v>102850000</v>
      </c>
      <c r="I940" s="176">
        <v>12235113.1</v>
      </c>
      <c r="J940" s="144">
        <v>85800000</v>
      </c>
      <c r="K940" s="168">
        <v>89300000</v>
      </c>
      <c r="L940" s="168">
        <v>9401814</v>
      </c>
      <c r="M940" s="168">
        <v>28966062</v>
      </c>
      <c r="N940" s="168">
        <v>25466062</v>
      </c>
      <c r="O940" s="168">
        <v>25466062</v>
      </c>
      <c r="P940" s="140"/>
    </row>
    <row r="941" spans="1:16" s="102" customFormat="1" ht="94.5">
      <c r="A941" s="158">
        <v>3</v>
      </c>
      <c r="B941" s="171" t="s">
        <v>36</v>
      </c>
      <c r="C941" s="140" t="s">
        <v>743</v>
      </c>
      <c r="D941" s="171" t="s">
        <v>1647</v>
      </c>
      <c r="E941" s="171" t="s">
        <v>1649</v>
      </c>
      <c r="F941" s="171">
        <v>2020</v>
      </c>
      <c r="G941" s="158">
        <v>2022</v>
      </c>
      <c r="H941" s="144">
        <v>5242000</v>
      </c>
      <c r="I941" s="176">
        <v>536956.64</v>
      </c>
      <c r="J941" s="144">
        <v>3000000</v>
      </c>
      <c r="K941" s="144"/>
      <c r="L941" s="144">
        <v>360136</v>
      </c>
      <c r="M941" s="144">
        <v>781023</v>
      </c>
      <c r="N941" s="144">
        <v>900044</v>
      </c>
      <c r="O941" s="144">
        <v>958797</v>
      </c>
      <c r="P941" s="140"/>
    </row>
    <row r="942" spans="1:16" s="102" customFormat="1" ht="31.5">
      <c r="A942" s="158">
        <v>4</v>
      </c>
      <c r="B942" s="171" t="s">
        <v>36</v>
      </c>
      <c r="C942" s="140" t="s">
        <v>1061</v>
      </c>
      <c r="D942" s="171" t="s">
        <v>821</v>
      </c>
      <c r="E942" s="171" t="s">
        <v>1650</v>
      </c>
      <c r="F942" s="171">
        <v>2019</v>
      </c>
      <c r="G942" s="158">
        <v>2023</v>
      </c>
      <c r="H942" s="144">
        <v>1123160000</v>
      </c>
      <c r="I942" s="176">
        <v>23142368.789999999</v>
      </c>
      <c r="J942" s="144">
        <v>1018000</v>
      </c>
      <c r="K942" s="144">
        <v>62018000</v>
      </c>
      <c r="L942" s="144">
        <v>1018000</v>
      </c>
      <c r="M942" s="144">
        <v>61000000</v>
      </c>
      <c r="N942" s="144">
        <v>0</v>
      </c>
      <c r="O942" s="144">
        <v>0</v>
      </c>
      <c r="P942" s="140"/>
    </row>
    <row r="943" spans="1:16" s="102" customFormat="1" ht="47.25">
      <c r="A943" s="158">
        <v>5</v>
      </c>
      <c r="B943" s="171" t="s">
        <v>36</v>
      </c>
      <c r="C943" s="140" t="s">
        <v>1066</v>
      </c>
      <c r="D943" s="171" t="s">
        <v>821</v>
      </c>
      <c r="E943" s="171" t="s">
        <v>1651</v>
      </c>
      <c r="F943" s="171">
        <v>2021</v>
      </c>
      <c r="G943" s="158">
        <v>2021</v>
      </c>
      <c r="H943" s="144">
        <v>6000000</v>
      </c>
      <c r="I943" s="176">
        <v>0</v>
      </c>
      <c r="J943" s="144">
        <v>6000000</v>
      </c>
      <c r="K943" s="168"/>
      <c r="L943" s="168">
        <v>1500000</v>
      </c>
      <c r="M943" s="168">
        <v>1500000</v>
      </c>
      <c r="N943" s="168">
        <v>1500000</v>
      </c>
      <c r="O943" s="168">
        <v>1500000</v>
      </c>
      <c r="P943" s="140"/>
    </row>
    <row r="944" spans="1:16" s="102" customFormat="1" ht="94.5">
      <c r="A944" s="200">
        <v>6</v>
      </c>
      <c r="B944" s="171" t="s">
        <v>36</v>
      </c>
      <c r="C944" s="140" t="s">
        <v>1652</v>
      </c>
      <c r="D944" s="171" t="s">
        <v>821</v>
      </c>
      <c r="E944" s="171" t="s">
        <v>1653</v>
      </c>
      <c r="F944" s="171">
        <v>2021</v>
      </c>
      <c r="G944" s="158">
        <v>2021</v>
      </c>
      <c r="H944" s="144">
        <v>9082000</v>
      </c>
      <c r="I944" s="176">
        <v>0</v>
      </c>
      <c r="J944" s="144">
        <v>9082000</v>
      </c>
      <c r="K944" s="144"/>
      <c r="L944" s="168">
        <v>2270500</v>
      </c>
      <c r="M944" s="168">
        <v>2270500</v>
      </c>
      <c r="N944" s="168">
        <v>2270500</v>
      </c>
      <c r="O944" s="168">
        <v>2270500</v>
      </c>
      <c r="P944" s="366"/>
    </row>
    <row r="945" spans="1:16" s="102" customFormat="1" ht="46.5" customHeight="1">
      <c r="A945" s="158">
        <v>7</v>
      </c>
      <c r="B945" s="171" t="s">
        <v>56</v>
      </c>
      <c r="C945" s="140" t="s">
        <v>1654</v>
      </c>
      <c r="D945" s="171" t="s">
        <v>1655</v>
      </c>
      <c r="E945" s="171" t="s">
        <v>1656</v>
      </c>
      <c r="F945" s="171">
        <v>2019</v>
      </c>
      <c r="G945" s="158">
        <v>2021</v>
      </c>
      <c r="H945" s="144">
        <v>63000000</v>
      </c>
      <c r="I945" s="176">
        <v>32306781.129999999</v>
      </c>
      <c r="J945" s="144">
        <v>31000000</v>
      </c>
      <c r="K945" s="144"/>
      <c r="L945" s="144">
        <v>3720000</v>
      </c>
      <c r="M945" s="144">
        <v>8059999</v>
      </c>
      <c r="N945" s="144">
        <v>9300000</v>
      </c>
      <c r="O945" s="144">
        <v>9920001</v>
      </c>
      <c r="P945" s="140"/>
    </row>
    <row r="946" spans="1:16" s="102" customFormat="1" ht="47.25">
      <c r="A946" s="158">
        <v>8</v>
      </c>
      <c r="B946" s="171" t="s">
        <v>56</v>
      </c>
      <c r="C946" s="140" t="s">
        <v>1657</v>
      </c>
      <c r="D946" s="171" t="s">
        <v>1655</v>
      </c>
      <c r="E946" s="171" t="s">
        <v>1658</v>
      </c>
      <c r="F946" s="171">
        <v>2021</v>
      </c>
      <c r="G946" s="158">
        <v>2021</v>
      </c>
      <c r="H946" s="144">
        <v>64249000</v>
      </c>
      <c r="I946" s="176">
        <v>0</v>
      </c>
      <c r="J946" s="144">
        <v>64249000</v>
      </c>
      <c r="K946" s="144"/>
      <c r="L946" s="168">
        <v>16062250</v>
      </c>
      <c r="M946" s="168">
        <v>16062250</v>
      </c>
      <c r="N946" s="168">
        <v>16062250</v>
      </c>
      <c r="O946" s="168">
        <v>16062250</v>
      </c>
      <c r="P946" s="140"/>
    </row>
    <row r="947" spans="1:16" s="102" customFormat="1" ht="47.25">
      <c r="A947" s="158">
        <v>9</v>
      </c>
      <c r="B947" s="171" t="s">
        <v>56</v>
      </c>
      <c r="C947" s="140" t="s">
        <v>1659</v>
      </c>
      <c r="D947" s="171" t="s">
        <v>1655</v>
      </c>
      <c r="E947" s="171" t="s">
        <v>1660</v>
      </c>
      <c r="F947" s="171">
        <v>2019</v>
      </c>
      <c r="G947" s="158">
        <v>2028</v>
      </c>
      <c r="H947" s="144">
        <v>1386000000</v>
      </c>
      <c r="I947" s="176">
        <v>0</v>
      </c>
      <c r="J947" s="144">
        <v>1000</v>
      </c>
      <c r="K947" s="144"/>
      <c r="L947" s="144">
        <v>0</v>
      </c>
      <c r="M947" s="144">
        <v>0</v>
      </c>
      <c r="N947" s="144">
        <v>0</v>
      </c>
      <c r="O947" s="144">
        <v>0</v>
      </c>
      <c r="P947" s="140"/>
    </row>
    <row r="948" spans="1:16" s="102" customFormat="1" ht="42" customHeight="1">
      <c r="A948" s="158">
        <v>10</v>
      </c>
      <c r="B948" s="171" t="s">
        <v>36</v>
      </c>
      <c r="C948" s="311" t="s">
        <v>1661</v>
      </c>
      <c r="D948" s="221" t="s">
        <v>1647</v>
      </c>
      <c r="E948" s="221" t="s">
        <v>1662</v>
      </c>
      <c r="F948" s="221">
        <v>2019</v>
      </c>
      <c r="G948" s="461">
        <v>2023</v>
      </c>
      <c r="H948" s="222">
        <v>49084835</v>
      </c>
      <c r="I948" s="506">
        <v>18752286.780000001</v>
      </c>
      <c r="J948" s="222">
        <v>25000000</v>
      </c>
      <c r="K948" s="222"/>
      <c r="L948" s="222">
        <v>3000000</v>
      </c>
      <c r="M948" s="222">
        <v>6499999</v>
      </c>
      <c r="N948" s="222">
        <v>7500000</v>
      </c>
      <c r="O948" s="222">
        <v>8000001</v>
      </c>
      <c r="P948" s="25"/>
    </row>
    <row r="949" spans="1:16" s="102" customFormat="1" ht="42" customHeight="1" thickBot="1">
      <c r="A949" s="351">
        <v>11</v>
      </c>
      <c r="B949" s="171" t="s">
        <v>25</v>
      </c>
      <c r="C949" s="140" t="s">
        <v>763</v>
      </c>
      <c r="D949" s="171" t="s">
        <v>821</v>
      </c>
      <c r="E949" s="171" t="s">
        <v>1663</v>
      </c>
      <c r="F949" s="171">
        <v>2021</v>
      </c>
      <c r="G949" s="158">
        <v>2021</v>
      </c>
      <c r="H949" s="144">
        <v>5332000</v>
      </c>
      <c r="I949" s="176">
        <v>0</v>
      </c>
      <c r="J949" s="144">
        <v>5332000</v>
      </c>
      <c r="K949" s="144"/>
      <c r="L949" s="168">
        <v>1333000</v>
      </c>
      <c r="M949" s="168">
        <v>1333000</v>
      </c>
      <c r="N949" s="168">
        <v>1333000</v>
      </c>
      <c r="O949" s="168">
        <v>1333000</v>
      </c>
      <c r="P949" s="373"/>
    </row>
    <row r="950" spans="1:16" s="31" customFormat="1" ht="30" customHeight="1" thickBot="1">
      <c r="A950" s="668" t="s">
        <v>20</v>
      </c>
      <c r="B950" s="669"/>
      <c r="C950" s="669"/>
      <c r="D950" s="669"/>
      <c r="E950" s="669"/>
      <c r="F950" s="669"/>
      <c r="G950" s="670"/>
      <c r="H950" s="146">
        <f t="shared" ref="H950:O950" si="74">SUM(H939:H949)</f>
        <v>2814999835</v>
      </c>
      <c r="I950" s="146">
        <f t="shared" si="74"/>
        <v>86973506.439999998</v>
      </c>
      <c r="J950" s="146">
        <f t="shared" si="74"/>
        <v>231482000</v>
      </c>
      <c r="K950" s="146">
        <f t="shared" si="74"/>
        <v>151318000</v>
      </c>
      <c r="L950" s="146">
        <f t="shared" si="74"/>
        <v>38785750</v>
      </c>
      <c r="M950" s="146">
        <f t="shared" si="74"/>
        <v>126732841</v>
      </c>
      <c r="N950" s="146">
        <f t="shared" si="74"/>
        <v>64631871</v>
      </c>
      <c r="O950" s="146">
        <f t="shared" si="74"/>
        <v>65830538</v>
      </c>
      <c r="P950" s="118"/>
    </row>
    <row r="951" spans="1:16" s="31" customFormat="1" ht="15" customHeight="1" thickBot="1">
      <c r="A951" s="671"/>
      <c r="B951" s="672"/>
      <c r="C951" s="672"/>
      <c r="D951" s="672"/>
      <c r="E951" s="672"/>
      <c r="F951" s="672"/>
      <c r="G951" s="672"/>
      <c r="H951" s="672"/>
      <c r="I951" s="672"/>
      <c r="J951" s="672"/>
      <c r="K951" s="672"/>
      <c r="L951" s="672"/>
      <c r="M951" s="672"/>
      <c r="N951" s="672"/>
      <c r="O951" s="672"/>
      <c r="P951" s="673"/>
    </row>
    <row r="952" spans="1:16" s="111" customFormat="1" ht="82.5" customHeight="1" thickBot="1">
      <c r="A952" s="720" t="s">
        <v>168</v>
      </c>
      <c r="B952" s="721"/>
      <c r="C952" s="721"/>
      <c r="D952" s="721"/>
      <c r="E952" s="721"/>
      <c r="F952" s="721"/>
      <c r="G952" s="722"/>
      <c r="H952" s="640">
        <f>H950+H816+H894+H904+H927+H881+H866+H837+H853+H914+H218+H152+H378+H114+H187+H209+H60+H10+H162+H256+H261+H609+H631+H790+H777+H591+H97+H333+H509+H373+H782+H343+H83+H637+H516+H654+H198+H936+H644</f>
        <v>99529886457.608139</v>
      </c>
      <c r="I952" s="640">
        <f t="shared" ref="I952:O952" si="75">I950+I816+I894+I904+I927+I881+I866+I837+I853+I914+I218+I152+I378+I114+I187+I209+I60+I10+I162+I256+I261+I609+I631+I790+I777+I591+I97+I333+I509+I373+I782+I343+I83+I637+I516+I654+I198+I936+I644</f>
        <v>45977070224.584946</v>
      </c>
      <c r="J952" s="640">
        <f t="shared" si="75"/>
        <v>12280917436.371729</v>
      </c>
      <c r="K952" s="640">
        <f t="shared" si="75"/>
        <v>1053797553.1899999</v>
      </c>
      <c r="L952" s="640">
        <f t="shared" si="75"/>
        <v>2816721536.8253751</v>
      </c>
      <c r="M952" s="640">
        <f t="shared" si="75"/>
        <v>3068699672.4408751</v>
      </c>
      <c r="N952" s="640">
        <f t="shared" si="75"/>
        <v>2925864309.0678749</v>
      </c>
      <c r="O952" s="640">
        <f t="shared" si="75"/>
        <v>3372078379.0328751</v>
      </c>
      <c r="P952" s="639"/>
    </row>
    <row r="957" spans="1:16" ht="18.75">
      <c r="C957" s="472"/>
      <c r="D957" s="571"/>
      <c r="E957" s="571"/>
      <c r="F957" s="572"/>
      <c r="G957" s="572"/>
      <c r="H957" s="573"/>
      <c r="I957" s="574"/>
      <c r="J957" s="572"/>
      <c r="K957" s="572"/>
      <c r="L957" s="572"/>
      <c r="M957" s="572"/>
      <c r="N957" s="572"/>
    </row>
    <row r="958" spans="1:16" ht="23.25">
      <c r="C958" s="488"/>
      <c r="D958" s="575"/>
      <c r="E958" s="575"/>
      <c r="F958" s="576"/>
      <c r="G958" s="576"/>
      <c r="H958" s="577"/>
      <c r="I958" s="578"/>
      <c r="J958" s="576"/>
      <c r="K958" s="576"/>
      <c r="L958" s="576"/>
      <c r="M958" s="576"/>
      <c r="N958" s="576"/>
    </row>
    <row r="959" spans="1:16" ht="23.25">
      <c r="C959" s="488"/>
      <c r="D959" s="575"/>
      <c r="E959" s="575"/>
      <c r="F959" s="576"/>
      <c r="G959" s="576"/>
      <c r="H959" s="577"/>
      <c r="I959" s="578"/>
      <c r="J959" s="576"/>
      <c r="K959" s="576"/>
      <c r="L959" s="576"/>
      <c r="M959" s="576"/>
      <c r="N959" s="576"/>
      <c r="O959" s="579"/>
    </row>
    <row r="960" spans="1:16" ht="23.25">
      <c r="C960" s="716"/>
      <c r="D960" s="716"/>
      <c r="E960" s="575"/>
      <c r="F960" s="580"/>
      <c r="G960" s="576"/>
      <c r="H960" s="717"/>
      <c r="I960" s="717"/>
      <c r="J960" s="717"/>
      <c r="K960" s="581"/>
      <c r="L960" s="581"/>
      <c r="M960" s="718"/>
      <c r="N960" s="718"/>
      <c r="O960" s="579"/>
    </row>
    <row r="961" spans="3:15" ht="23.25">
      <c r="C961" s="716"/>
      <c r="D961" s="716"/>
      <c r="E961" s="575"/>
      <c r="F961" s="580"/>
      <c r="G961" s="576"/>
      <c r="H961" s="718"/>
      <c r="I961" s="718"/>
      <c r="J961" s="718"/>
      <c r="K961" s="581"/>
      <c r="L961" s="581"/>
      <c r="M961" s="718"/>
      <c r="N961" s="718"/>
      <c r="O961" s="579"/>
    </row>
    <row r="962" spans="3:15" ht="23.25">
      <c r="C962" s="488"/>
      <c r="D962" s="575"/>
      <c r="E962" s="575"/>
      <c r="F962" s="576"/>
      <c r="G962" s="576"/>
      <c r="H962" s="577"/>
      <c r="I962" s="578"/>
      <c r="J962" s="576"/>
      <c r="K962" s="576"/>
      <c r="L962" s="576"/>
      <c r="M962" s="576"/>
      <c r="N962" s="576"/>
      <c r="O962" s="579"/>
    </row>
  </sheetData>
  <autoFilter ref="B1:B952"/>
  <mergeCells count="140">
    <mergeCell ref="C961:D961"/>
    <mergeCell ref="H961:J961"/>
    <mergeCell ref="M961:N961"/>
    <mergeCell ref="A927:G927"/>
    <mergeCell ref="A950:G950"/>
    <mergeCell ref="A951:P951"/>
    <mergeCell ref="A952:G952"/>
    <mergeCell ref="A938:E938"/>
    <mergeCell ref="A929:E929"/>
    <mergeCell ref="A936:G936"/>
    <mergeCell ref="A937:P937"/>
    <mergeCell ref="A928:P928"/>
    <mergeCell ref="A98:P98"/>
    <mergeCell ref="A115:P115"/>
    <mergeCell ref="A153:P153"/>
    <mergeCell ref="A163:P163"/>
    <mergeCell ref="A188:P188"/>
    <mergeCell ref="A380:P380"/>
    <mergeCell ref="C960:D960"/>
    <mergeCell ref="H960:J960"/>
    <mergeCell ref="M960:N960"/>
    <mergeCell ref="A867:P867"/>
    <mergeCell ref="A882:P882"/>
    <mergeCell ref="A818:P818"/>
    <mergeCell ref="A868:P868"/>
    <mergeCell ref="A883:P883"/>
    <mergeCell ref="A792:P792"/>
    <mergeCell ref="A793:E793"/>
    <mergeCell ref="A855:P855"/>
    <mergeCell ref="A609:G609"/>
    <mergeCell ref="A633:G633"/>
    <mergeCell ref="A637:G637"/>
    <mergeCell ref="A780:P780"/>
    <mergeCell ref="A779:P779"/>
    <mergeCell ref="A638:P638"/>
    <mergeCell ref="A655:P655"/>
    <mergeCell ref="A60:G60"/>
    <mergeCell ref="A114:G114"/>
    <mergeCell ref="A152:G152"/>
    <mergeCell ref="A187:G187"/>
    <mergeCell ref="A209:G209"/>
    <mergeCell ref="A218:G218"/>
    <mergeCell ref="A378:G378"/>
    <mergeCell ref="A816:G816"/>
    <mergeCell ref="A837:G837"/>
    <mergeCell ref="A510:P510"/>
    <mergeCell ref="A517:P517"/>
    <mergeCell ref="A592:P592"/>
    <mergeCell ref="A610:P610"/>
    <mergeCell ref="A632:P632"/>
    <mergeCell ref="A210:P210"/>
    <mergeCell ref="A219:P219"/>
    <mergeCell ref="A189:P189"/>
    <mergeCell ref="A198:G198"/>
    <mergeCell ref="A199:P199"/>
    <mergeCell ref="A784:P784"/>
    <mergeCell ref="A591:G591"/>
    <mergeCell ref="A777:G777"/>
    <mergeCell ref="A790:G790"/>
    <mergeCell ref="A631:G631"/>
    <mergeCell ref="A644:G644"/>
    <mergeCell ref="A257:P257"/>
    <mergeCell ref="A262:P262"/>
    <mergeCell ref="A211:P211"/>
    <mergeCell ref="A200:P200"/>
    <mergeCell ref="A511:P511"/>
    <mergeCell ref="A518:P518"/>
    <mergeCell ref="A593:P593"/>
    <mergeCell ref="A611:P611"/>
    <mergeCell ref="A516:G516"/>
    <mergeCell ref="A375:P375"/>
    <mergeCell ref="A261:G261"/>
    <mergeCell ref="A373:G373"/>
    <mergeCell ref="A509:G509"/>
    <mergeCell ref="A333:G333"/>
    <mergeCell ref="A343:G343"/>
    <mergeCell ref="A334:P334"/>
    <mergeCell ref="A344:P344"/>
    <mergeCell ref="A374:P374"/>
    <mergeCell ref="A379:P379"/>
    <mergeCell ref="A1:P2"/>
    <mergeCell ref="A4:A5"/>
    <mergeCell ref="B4:B5"/>
    <mergeCell ref="C4:C5"/>
    <mergeCell ref="D4:D5"/>
    <mergeCell ref="E4:E5"/>
    <mergeCell ref="F4:G4"/>
    <mergeCell ref="H4:H5"/>
    <mergeCell ref="I4:I5"/>
    <mergeCell ref="J4:K4"/>
    <mergeCell ref="L4:O4"/>
    <mergeCell ref="P4:P5"/>
    <mergeCell ref="A914:G914"/>
    <mergeCell ref="A7:P7"/>
    <mergeCell ref="A99:P99"/>
    <mergeCell ref="A10:G10"/>
    <mergeCell ref="A116:P116"/>
    <mergeCell ref="A220:P220"/>
    <mergeCell ref="A12:P12"/>
    <mergeCell ref="A8:P8"/>
    <mergeCell ref="A62:P62"/>
    <mergeCell ref="A85:P85"/>
    <mergeCell ref="A97:G97"/>
    <mergeCell ref="A83:G83"/>
    <mergeCell ref="A11:P11"/>
    <mergeCell ref="A61:P61"/>
    <mergeCell ref="A84:P84"/>
    <mergeCell ref="A258:P258"/>
    <mergeCell ref="A263:P263"/>
    <mergeCell ref="A778:P778"/>
    <mergeCell ref="A783:P783"/>
    <mergeCell ref="A162:G162"/>
    <mergeCell ref="A154:P154"/>
    <mergeCell ref="A164:P164"/>
    <mergeCell ref="A896:P896"/>
    <mergeCell ref="A639:G639"/>
    <mergeCell ref="A906:P906"/>
    <mergeCell ref="A916:P916"/>
    <mergeCell ref="A839:P839"/>
    <mergeCell ref="A335:P335"/>
    <mergeCell ref="A345:P345"/>
    <mergeCell ref="A346:P346"/>
    <mergeCell ref="A336:P336"/>
    <mergeCell ref="A256:G256"/>
    <mergeCell ref="A782:G782"/>
    <mergeCell ref="A654:G654"/>
    <mergeCell ref="A817:P817"/>
    <mergeCell ref="A646:G646"/>
    <mergeCell ref="A656:P656"/>
    <mergeCell ref="A895:P895"/>
    <mergeCell ref="A905:P905"/>
    <mergeCell ref="A915:P915"/>
    <mergeCell ref="A853:G853"/>
    <mergeCell ref="A866:G866"/>
    <mergeCell ref="A881:G881"/>
    <mergeCell ref="A894:G894"/>
    <mergeCell ref="A791:P791"/>
    <mergeCell ref="A838:P838"/>
    <mergeCell ref="A854:P854"/>
    <mergeCell ref="A904:G904"/>
  </mergeCells>
  <conditionalFormatting sqref="C221:C230 C232:C255">
    <cfRule type="duplicateValues" dxfId="1" priority="2"/>
  </conditionalFormatting>
  <conditionalFormatting sqref="C231">
    <cfRule type="duplicateValues" dxfId="0" priority="1"/>
  </conditionalFormatting>
  <pageMargins left="0" right="0" top="0.42" bottom="0" header="0" footer="0"/>
  <pageSetup paperSize="9" scale="38"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
  <sheetViews>
    <sheetView tabSelected="1" workbookViewId="0">
      <selection activeCell="N2" sqref="N2"/>
    </sheetView>
  </sheetViews>
  <sheetFormatPr defaultRowHeight="15"/>
  <cols>
    <col min="1" max="1" width="28.5703125" customWidth="1"/>
    <col min="2" max="2" width="15.5703125" customWidth="1"/>
    <col min="3" max="3" width="11.42578125" customWidth="1"/>
    <col min="10" max="10" width="43" customWidth="1"/>
  </cols>
  <sheetData>
    <row r="1" spans="1:10" ht="94.5" customHeight="1"/>
    <row r="2" spans="1:10" ht="394.5" customHeight="1">
      <c r="A2" s="727" t="s">
        <v>1913</v>
      </c>
      <c r="B2" s="727"/>
      <c r="C2" s="727"/>
      <c r="D2" s="727"/>
      <c r="E2" s="727"/>
      <c r="F2" s="727"/>
      <c r="G2" s="727"/>
      <c r="H2" s="727"/>
      <c r="I2" s="727"/>
      <c r="J2" s="727"/>
    </row>
  </sheetData>
  <mergeCells count="1">
    <mergeCell ref="A2:J2"/>
  </mergeCells>
  <pageMargins left="0.7" right="0.7" top="0.75" bottom="0.75" header="0.3" footer="0.3"/>
  <pageSetup paperSize="9" scale="85"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F55"/>
  <sheetViews>
    <sheetView zoomScale="90" zoomScaleNormal="90" zoomScalePageLayoutView="70" workbookViewId="0">
      <pane ySplit="3" topLeftCell="A4" activePane="bottomLeft" state="frozen"/>
      <selection pane="bottomLeft" activeCell="C41" sqref="C41:F41"/>
    </sheetView>
  </sheetViews>
  <sheetFormatPr defaultRowHeight="15"/>
  <cols>
    <col min="1" max="1" width="8.42578125" style="8" customWidth="1"/>
    <col min="2" max="2" width="62.28515625" style="8" customWidth="1"/>
    <col min="3" max="3" width="24" style="8" customWidth="1"/>
    <col min="4" max="4" width="31.140625" style="3" customWidth="1"/>
    <col min="5" max="5" width="33.7109375" style="2" customWidth="1"/>
    <col min="6" max="6" width="33.5703125" customWidth="1"/>
    <col min="7" max="7" width="22.5703125" customWidth="1"/>
  </cols>
  <sheetData>
    <row r="1" spans="1:6" s="67" customFormat="1" ht="19.5" customHeight="1">
      <c r="A1" s="728" t="s">
        <v>186</v>
      </c>
      <c r="B1" s="729"/>
      <c r="C1" s="729"/>
      <c r="D1" s="729"/>
      <c r="E1" s="729"/>
      <c r="F1" s="730"/>
    </row>
    <row r="2" spans="1:6" s="67" customFormat="1" ht="47.25" customHeight="1">
      <c r="A2" s="731"/>
      <c r="B2" s="732"/>
      <c r="C2" s="732"/>
      <c r="D2" s="732"/>
      <c r="E2" s="732"/>
      <c r="F2" s="733"/>
    </row>
    <row r="3" spans="1:6" s="46" customFormat="1" ht="77.25" customHeight="1">
      <c r="A3" s="41" t="s">
        <v>0</v>
      </c>
      <c r="B3" s="42" t="s">
        <v>169</v>
      </c>
      <c r="C3" s="42" t="s">
        <v>165</v>
      </c>
      <c r="D3" s="43" t="s">
        <v>6</v>
      </c>
      <c r="E3" s="44" t="s">
        <v>7</v>
      </c>
      <c r="F3" s="45" t="s">
        <v>8</v>
      </c>
    </row>
    <row r="4" spans="1:6" s="30" customFormat="1" ht="25.5" customHeight="1">
      <c r="A4" s="49">
        <v>1</v>
      </c>
      <c r="B4" s="355" t="s">
        <v>118</v>
      </c>
      <c r="C4" s="356">
        <f>BELEDİYELER!A24</f>
        <v>18</v>
      </c>
      <c r="D4" s="478">
        <f>BELEDİYELER!H25</f>
        <v>88613820000</v>
      </c>
      <c r="E4" s="478">
        <f>BELEDİYELER!I25</f>
        <v>16217301000</v>
      </c>
      <c r="F4" s="478">
        <f>BELEDİYELER!J25</f>
        <v>19627807000</v>
      </c>
    </row>
    <row r="5" spans="1:6" s="30" customFormat="1" ht="25.5" customHeight="1">
      <c r="A5" s="47">
        <v>2</v>
      </c>
      <c r="B5" s="355" t="s">
        <v>126</v>
      </c>
      <c r="C5" s="448">
        <f>BELEDİYELER!A31</f>
        <v>4</v>
      </c>
      <c r="D5" s="478">
        <f>BELEDİYELER!H32</f>
        <v>39630566000</v>
      </c>
      <c r="E5" s="478">
        <f>BELEDİYELER!I32</f>
        <v>13288972000</v>
      </c>
      <c r="F5" s="478">
        <f>BELEDİYELER!J32</f>
        <v>3888945000</v>
      </c>
    </row>
    <row r="6" spans="1:6" s="30" customFormat="1" ht="25.5" customHeight="1">
      <c r="A6" s="47">
        <v>3</v>
      </c>
      <c r="B6" s="355" t="s">
        <v>1872</v>
      </c>
      <c r="C6" s="448">
        <f>BELEDİYELER!A46</f>
        <v>12</v>
      </c>
      <c r="D6" s="478">
        <f>BELEDİYELER!H47</f>
        <v>3257301000</v>
      </c>
      <c r="E6" s="478">
        <f>BELEDİYELER!I47</f>
        <v>59234941.56000001</v>
      </c>
      <c r="F6" s="478">
        <f>BELEDİYELER!J47</f>
        <v>735626000</v>
      </c>
    </row>
    <row r="7" spans="1:6" s="30" customFormat="1" ht="25.5" customHeight="1">
      <c r="A7" s="49">
        <v>4</v>
      </c>
      <c r="B7" s="355" t="s">
        <v>1873</v>
      </c>
      <c r="C7" s="448">
        <f>BELEDİYELER!A55</f>
        <v>6</v>
      </c>
      <c r="D7" s="478">
        <f>BELEDİYELER!H56</f>
        <v>109241379.58470342</v>
      </c>
      <c r="E7" s="478">
        <f>BELEDİYELER!I56</f>
        <v>60924470.449693725</v>
      </c>
      <c r="F7" s="478">
        <f>BELEDİYELER!J56</f>
        <v>48316909.135009676</v>
      </c>
    </row>
    <row r="8" spans="1:6" s="30" customFormat="1" ht="30.75" customHeight="1">
      <c r="A8" s="47">
        <v>5</v>
      </c>
      <c r="B8" s="355" t="s">
        <v>1849</v>
      </c>
      <c r="C8" s="736" t="s">
        <v>2014</v>
      </c>
      <c r="D8" s="737"/>
      <c r="E8" s="737"/>
      <c r="F8" s="738"/>
    </row>
    <row r="9" spans="1:6" s="30" customFormat="1" ht="25.5" customHeight="1">
      <c r="A9" s="47">
        <v>6</v>
      </c>
      <c r="B9" s="355" t="s">
        <v>1850</v>
      </c>
      <c r="C9" s="739" t="s">
        <v>2012</v>
      </c>
      <c r="D9" s="740"/>
      <c r="E9" s="740"/>
      <c r="F9" s="741"/>
    </row>
    <row r="10" spans="1:6" s="48" customFormat="1" ht="25.5" customHeight="1">
      <c r="A10" s="49">
        <v>7</v>
      </c>
      <c r="B10" s="355" t="s">
        <v>1854</v>
      </c>
      <c r="C10" s="448">
        <f>BELEDİYELER!A62</f>
        <v>4</v>
      </c>
      <c r="D10" s="478">
        <f>BELEDİYELER!H63</f>
        <v>143673674.66</v>
      </c>
      <c r="E10" s="478">
        <f>BELEDİYELER!I63</f>
        <v>78011415.444399998</v>
      </c>
      <c r="F10" s="478">
        <f>BELEDİYELER!J63</f>
        <v>40215481.07</v>
      </c>
    </row>
    <row r="11" spans="1:6" s="48" customFormat="1" ht="25.5" customHeight="1">
      <c r="A11" s="47">
        <v>8</v>
      </c>
      <c r="B11" s="357" t="s">
        <v>1855</v>
      </c>
      <c r="C11" s="358">
        <f>BELEDİYELER!A341</f>
        <v>4</v>
      </c>
      <c r="D11" s="480">
        <f>BELEDİYELER!H342</f>
        <v>1900283</v>
      </c>
      <c r="E11" s="480">
        <f>BELEDİYELER!I342</f>
        <v>0</v>
      </c>
      <c r="F11" s="480">
        <f>BELEDİYELER!J342</f>
        <v>1900283</v>
      </c>
    </row>
    <row r="12" spans="1:6" s="1" customFormat="1" ht="25.5" customHeight="1">
      <c r="A12" s="47">
        <v>9</v>
      </c>
      <c r="B12" s="361" t="s">
        <v>116</v>
      </c>
      <c r="C12" s="362">
        <f>BELEDİYELER!A106</f>
        <v>9</v>
      </c>
      <c r="D12" s="478">
        <f>BELEDİYELER!H107</f>
        <v>91480508.237399995</v>
      </c>
      <c r="E12" s="478">
        <f>BELEDİYELER!I107</f>
        <v>79444218.127999991</v>
      </c>
      <c r="F12" s="478">
        <f>BELEDİYELER!J107</f>
        <v>12036290.109399995</v>
      </c>
    </row>
    <row r="13" spans="1:6" s="50" customFormat="1" ht="25.5" customHeight="1">
      <c r="A13" s="49">
        <v>10</v>
      </c>
      <c r="B13" s="355" t="s">
        <v>1364</v>
      </c>
      <c r="C13" s="356">
        <f>BELEDİYELER!A200</f>
        <v>14</v>
      </c>
      <c r="D13" s="478">
        <f>BELEDİYELER!H201</f>
        <v>72349498.719999999</v>
      </c>
      <c r="E13" s="478">
        <f>BELEDİYELER!I201</f>
        <v>1783239.12</v>
      </c>
      <c r="F13" s="478">
        <f>BELEDİYELER!J201</f>
        <v>45815624.600000001</v>
      </c>
    </row>
    <row r="14" spans="1:6" s="50" customFormat="1" ht="25.5" customHeight="1">
      <c r="A14" s="47">
        <v>11</v>
      </c>
      <c r="B14" s="355" t="s">
        <v>1851</v>
      </c>
      <c r="C14" s="448">
        <f>BELEDİYELER!A346</f>
        <v>2</v>
      </c>
      <c r="D14" s="478">
        <f>BELEDİYELER!H347</f>
        <v>34074072</v>
      </c>
      <c r="E14" s="478">
        <f>BELEDİYELER!I347</f>
        <v>0</v>
      </c>
      <c r="F14" s="478">
        <f>BELEDİYELER!J347</f>
        <v>34074072</v>
      </c>
    </row>
    <row r="15" spans="1:6" s="50" customFormat="1" ht="34.5" customHeight="1">
      <c r="A15" s="47">
        <v>12</v>
      </c>
      <c r="B15" s="355" t="s">
        <v>1852</v>
      </c>
      <c r="C15" s="736" t="s">
        <v>2011</v>
      </c>
      <c r="D15" s="737"/>
      <c r="E15" s="737"/>
      <c r="F15" s="738"/>
    </row>
    <row r="16" spans="1:6" s="31" customFormat="1" ht="25.5" customHeight="1">
      <c r="A16" s="49">
        <v>13</v>
      </c>
      <c r="B16" s="355" t="s">
        <v>1856</v>
      </c>
      <c r="C16" s="356">
        <f>BELEDİYELER!A156</f>
        <v>1</v>
      </c>
      <c r="D16" s="478">
        <f>BELEDİYELER!H157</f>
        <v>9716505.3399999999</v>
      </c>
      <c r="E16" s="478">
        <f>BELEDİYELER!I157</f>
        <v>13122967</v>
      </c>
      <c r="F16" s="478">
        <f>BELEDİYELER!J157</f>
        <v>10890156.550000001</v>
      </c>
    </row>
    <row r="17" spans="1:6" s="50" customFormat="1" ht="25.5" customHeight="1">
      <c r="A17" s="47">
        <v>14</v>
      </c>
      <c r="B17" s="355" t="s">
        <v>1857</v>
      </c>
      <c r="C17" s="356">
        <f>BELEDİYELER!A204</f>
        <v>1</v>
      </c>
      <c r="D17" s="478">
        <f>BELEDİYELER!H205</f>
        <v>2869400</v>
      </c>
      <c r="E17" s="478">
        <f>BELEDİYELER!I205</f>
        <v>2287757.2200000002</v>
      </c>
      <c r="F17" s="478">
        <f>BELEDİYELER!J205</f>
        <v>581642.7799999998</v>
      </c>
    </row>
    <row r="18" spans="1:6" s="33" customFormat="1" ht="25.5" customHeight="1">
      <c r="A18" s="47">
        <v>15</v>
      </c>
      <c r="B18" s="355" t="s">
        <v>1858</v>
      </c>
      <c r="C18" s="356">
        <f>BELEDİYELER!A126</f>
        <v>9</v>
      </c>
      <c r="D18" s="478">
        <f>BELEDİYELER!H127</f>
        <v>196191605</v>
      </c>
      <c r="E18" s="478">
        <f>BELEDİYELER!I127</f>
        <v>13637545</v>
      </c>
      <c r="F18" s="478">
        <f>BELEDİYELER!J127</f>
        <v>14484519</v>
      </c>
    </row>
    <row r="19" spans="1:6" s="33" customFormat="1" ht="25.5" customHeight="1">
      <c r="A19" s="49">
        <v>16</v>
      </c>
      <c r="B19" s="355" t="s">
        <v>1853</v>
      </c>
      <c r="C19" s="448">
        <f>BELEDİYELER!A426</f>
        <v>11</v>
      </c>
      <c r="D19" s="478">
        <f>BELEDİYELER!H427</f>
        <v>77543629.189999983</v>
      </c>
      <c r="E19" s="478">
        <f>BELEDİYELER!I427</f>
        <v>31787453.960000001</v>
      </c>
      <c r="F19" s="478">
        <f>BELEDİYELER!J427</f>
        <v>45756175.230000012</v>
      </c>
    </row>
    <row r="20" spans="1:6" s="33" customFormat="1" ht="25.5" customHeight="1">
      <c r="A20" s="47">
        <v>17</v>
      </c>
      <c r="B20" s="355" t="s">
        <v>352</v>
      </c>
      <c r="C20" s="356">
        <f>BELEDİYELER!A69</f>
        <v>4</v>
      </c>
      <c r="D20" s="478">
        <f>BELEDİYELER!H70</f>
        <v>34373471.450000003</v>
      </c>
      <c r="E20" s="478">
        <f>BELEDİYELER!I70</f>
        <v>16427921.489999998</v>
      </c>
      <c r="F20" s="478">
        <f>BELEDİYELER!J70</f>
        <v>37527078.510000005</v>
      </c>
    </row>
    <row r="21" spans="1:6" s="33" customFormat="1" ht="30.75" customHeight="1">
      <c r="A21" s="47">
        <v>18</v>
      </c>
      <c r="B21" s="355" t="s">
        <v>1859</v>
      </c>
      <c r="C21" s="448">
        <f>BELEDİYELER!A275</f>
        <v>19</v>
      </c>
      <c r="D21" s="478">
        <f>BELEDİYELER!H276</f>
        <v>22321575</v>
      </c>
      <c r="E21" s="478">
        <f>BELEDİYELER!I276</f>
        <v>0</v>
      </c>
      <c r="F21" s="478">
        <f>BELEDİYELER!J276</f>
        <v>22321575</v>
      </c>
    </row>
    <row r="22" spans="1:6" s="50" customFormat="1" ht="25.5" customHeight="1">
      <c r="A22" s="49">
        <v>19</v>
      </c>
      <c r="B22" s="355" t="s">
        <v>776</v>
      </c>
      <c r="C22" s="448">
        <f>BELEDİYELER!A84</f>
        <v>12</v>
      </c>
      <c r="D22" s="478">
        <f>BELEDİYELER!H85</f>
        <v>41500919</v>
      </c>
      <c r="E22" s="478">
        <f>BELEDİYELER!I85</f>
        <v>4151343.4</v>
      </c>
      <c r="F22" s="478">
        <f>BELEDİYELER!J85</f>
        <v>37349575.600000009</v>
      </c>
    </row>
    <row r="23" spans="1:6" s="31" customFormat="1" ht="25.5" customHeight="1">
      <c r="A23" s="47">
        <v>20</v>
      </c>
      <c r="B23" s="355" t="s">
        <v>1289</v>
      </c>
      <c r="C23" s="356">
        <f>BELEDİYELER!A142</f>
        <v>13</v>
      </c>
      <c r="D23" s="478">
        <f>BELEDİYELER!H143</f>
        <v>53718169.699999996</v>
      </c>
      <c r="E23" s="478">
        <f>BELEDİYELER!I143</f>
        <v>10718760.940000001</v>
      </c>
      <c r="F23" s="478">
        <f>BELEDİYELER!J143</f>
        <v>38675408.759999998</v>
      </c>
    </row>
    <row r="24" spans="1:6" s="50" customFormat="1" ht="25.5" customHeight="1">
      <c r="A24" s="47">
        <v>21</v>
      </c>
      <c r="B24" s="355" t="s">
        <v>1860</v>
      </c>
      <c r="C24" s="356">
        <f>BELEDİYELER!A253</f>
        <v>4</v>
      </c>
      <c r="D24" s="478">
        <f>BELEDİYELER!H254</f>
        <v>85200000</v>
      </c>
      <c r="E24" s="478">
        <f>BELEDİYELER!I254</f>
        <v>0</v>
      </c>
      <c r="F24" s="478">
        <f>BELEDİYELER!J254</f>
        <v>85200000</v>
      </c>
    </row>
    <row r="25" spans="1:6" s="51" customFormat="1" ht="25.5" customHeight="1">
      <c r="A25" s="49">
        <v>22</v>
      </c>
      <c r="B25" s="355" t="s">
        <v>1739</v>
      </c>
      <c r="C25" s="356">
        <f>BELEDİYELER!A303</f>
        <v>6</v>
      </c>
      <c r="D25" s="478">
        <f>BELEDİYELER!H304</f>
        <v>84969129.640000001</v>
      </c>
      <c r="E25" s="478">
        <f>BELEDİYELER!I304</f>
        <v>0</v>
      </c>
      <c r="F25" s="478">
        <f>BELEDİYELER!J304</f>
        <v>47501708.450000003</v>
      </c>
    </row>
    <row r="26" spans="1:6" s="52" customFormat="1" ht="25.5" customHeight="1">
      <c r="A26" s="47">
        <v>23</v>
      </c>
      <c r="B26" s="355" t="s">
        <v>1361</v>
      </c>
      <c r="C26" s="356">
        <f>BELEDİYELER!A183</f>
        <v>19</v>
      </c>
      <c r="D26" s="478">
        <f>BELEDİYELER!H184</f>
        <v>136356313.97</v>
      </c>
      <c r="E26" s="478">
        <f>BELEDİYELER!I184</f>
        <v>12255427</v>
      </c>
      <c r="F26" s="478">
        <f>BELEDİYELER!J184</f>
        <v>122955670.97</v>
      </c>
    </row>
    <row r="27" spans="1:6" s="52" customFormat="1" ht="25.5" customHeight="1">
      <c r="A27" s="47">
        <v>24</v>
      </c>
      <c r="B27" s="355" t="s">
        <v>1875</v>
      </c>
      <c r="C27" s="448">
        <f>BELEDİYELER!A412</f>
        <v>25</v>
      </c>
      <c r="D27" s="478">
        <f>BELEDİYELER!H413</f>
        <v>35766984.079999998</v>
      </c>
      <c r="E27" s="478">
        <f>BELEDİYELER!I413</f>
        <v>0</v>
      </c>
      <c r="F27" s="478">
        <f>BELEDİYELER!J413</f>
        <v>19080790.859999999</v>
      </c>
    </row>
    <row r="28" spans="1:6" s="52" customFormat="1" ht="25.5" customHeight="1">
      <c r="A28" s="49">
        <v>25</v>
      </c>
      <c r="B28" s="355" t="s">
        <v>1866</v>
      </c>
      <c r="C28" s="448">
        <f>BELEDİYELER!A437</f>
        <v>8</v>
      </c>
      <c r="D28" s="478">
        <f>BELEDİYELER!H438</f>
        <v>45448987.740000002</v>
      </c>
      <c r="E28" s="478">
        <f>BELEDİYELER!I438</f>
        <v>0</v>
      </c>
      <c r="F28" s="478">
        <f>BELEDİYELER!J438</f>
        <v>31578238.18</v>
      </c>
    </row>
    <row r="29" spans="1:6" s="53" customFormat="1" ht="25.5" customHeight="1">
      <c r="A29" s="47">
        <v>26</v>
      </c>
      <c r="B29" s="355" t="s">
        <v>1713</v>
      </c>
      <c r="C29" s="356">
        <f>BELEDİYELER!A294</f>
        <v>5</v>
      </c>
      <c r="D29" s="478">
        <f>BELEDİYELER!H295</f>
        <v>41766051.439999998</v>
      </c>
      <c r="E29" s="478">
        <f>BELEDİYELER!I295</f>
        <v>8317411.8989999993</v>
      </c>
      <c r="F29" s="478">
        <f>BELEDİYELER!J295</f>
        <v>33448639.541000001</v>
      </c>
    </row>
    <row r="30" spans="1:6" s="50" customFormat="1" ht="25.5" customHeight="1">
      <c r="A30" s="47">
        <v>27</v>
      </c>
      <c r="B30" s="355" t="s">
        <v>121</v>
      </c>
      <c r="C30" s="356">
        <f>BELEDİYELER!A209</f>
        <v>2</v>
      </c>
      <c r="D30" s="478">
        <f>BELEDİYELER!H210</f>
        <v>54189140.420000002</v>
      </c>
      <c r="E30" s="478">
        <f>BELEDİYELER!I210</f>
        <v>13866710.52</v>
      </c>
      <c r="F30" s="478">
        <f>BELEDİYELER!J210</f>
        <v>40322429.979999997</v>
      </c>
    </row>
    <row r="31" spans="1:6" s="50" customFormat="1" ht="25.5" customHeight="1">
      <c r="A31" s="49">
        <v>28</v>
      </c>
      <c r="B31" s="355" t="s">
        <v>1874</v>
      </c>
      <c r="C31" s="448">
        <f>BELEDİYELER!A384</f>
        <v>35</v>
      </c>
      <c r="D31" s="478">
        <f>BELEDİYELER!H385</f>
        <v>82346788.989999995</v>
      </c>
      <c r="E31" s="478">
        <f>BELEDİYELER!I385</f>
        <v>1821221.81</v>
      </c>
      <c r="F31" s="478">
        <f>BELEDİYELER!J385</f>
        <v>80525567.179999992</v>
      </c>
    </row>
    <row r="32" spans="1:6" s="51" customFormat="1" ht="25.5" customHeight="1">
      <c r="A32" s="47">
        <v>29</v>
      </c>
      <c r="B32" s="355" t="s">
        <v>1861</v>
      </c>
      <c r="C32" s="356">
        <f>BELEDİYELER!A327</f>
        <v>4</v>
      </c>
      <c r="D32" s="478">
        <f>BELEDİYELER!H328</f>
        <v>64468550</v>
      </c>
      <c r="E32" s="478">
        <f>BELEDİYELER!I328</f>
        <v>24182066</v>
      </c>
      <c r="F32" s="478">
        <f>BELEDİYELER!J328</f>
        <v>18000000</v>
      </c>
    </row>
    <row r="33" spans="1:6" s="52" customFormat="1" ht="25.5" customHeight="1">
      <c r="A33" s="47">
        <v>30</v>
      </c>
      <c r="B33" s="355" t="s">
        <v>1862</v>
      </c>
      <c r="C33" s="356">
        <f>BELEDİYELER!A246</f>
        <v>34</v>
      </c>
      <c r="D33" s="478">
        <f>BELEDİYELER!H247</f>
        <v>291233045.04040003</v>
      </c>
      <c r="E33" s="478">
        <f>BELEDİYELER!I247</f>
        <v>191938871.42319995</v>
      </c>
      <c r="F33" s="478">
        <f>BELEDİYELER!J247</f>
        <v>142903263.4472</v>
      </c>
    </row>
    <row r="34" spans="1:6" s="53" customFormat="1" ht="25.5" customHeight="1">
      <c r="A34" s="49">
        <v>31</v>
      </c>
      <c r="B34" s="355" t="s">
        <v>1560</v>
      </c>
      <c r="C34" s="448">
        <f>BELEDİYELER!A161</f>
        <v>2</v>
      </c>
      <c r="D34" s="478">
        <f>BELEDİYELER!H162</f>
        <v>7366276</v>
      </c>
      <c r="E34" s="478">
        <f>BELEDİYELER!I162</f>
        <v>6081120.4299999997</v>
      </c>
      <c r="F34" s="478">
        <f>BELEDİYELER!J162</f>
        <v>1285155.57</v>
      </c>
    </row>
    <row r="35" spans="1:6" s="50" customFormat="1" ht="25.5" customHeight="1">
      <c r="A35" s="47">
        <v>32</v>
      </c>
      <c r="B35" s="355" t="s">
        <v>1863</v>
      </c>
      <c r="C35" s="356">
        <f>BELEDİYELER!A286</f>
        <v>8</v>
      </c>
      <c r="D35" s="478">
        <f>BELEDİYELER!H287</f>
        <v>154639997.09999999</v>
      </c>
      <c r="E35" s="478">
        <f>BELEDİYELER!I287</f>
        <v>85725837.060000002</v>
      </c>
      <c r="F35" s="478">
        <f>BELEDİYELER!J287</f>
        <v>68202525.599999994</v>
      </c>
    </row>
    <row r="36" spans="1:6" s="53" customFormat="1" ht="25.5" customHeight="1">
      <c r="A36" s="47">
        <v>33</v>
      </c>
      <c r="B36" s="355" t="s">
        <v>1864</v>
      </c>
      <c r="C36" s="356">
        <f>BELEDİYELER!A114</f>
        <v>5</v>
      </c>
      <c r="D36" s="478">
        <f>BELEDİYELER!H115</f>
        <v>143937970</v>
      </c>
      <c r="E36" s="478">
        <f>BELEDİYELER!I115</f>
        <v>58226244</v>
      </c>
      <c r="F36" s="478">
        <f>BELEDİYELER!J115</f>
        <v>85711726</v>
      </c>
    </row>
    <row r="37" spans="1:6" s="53" customFormat="1" ht="25.5" customHeight="1">
      <c r="A37" s="49">
        <v>34</v>
      </c>
      <c r="B37" s="355" t="s">
        <v>1867</v>
      </c>
      <c r="C37" s="448">
        <f>BELEDİYELER!A448</f>
        <v>2</v>
      </c>
      <c r="D37" s="478">
        <f>BELEDİYELER!H449</f>
        <v>687500</v>
      </c>
      <c r="E37" s="478">
        <f>BELEDİYELER!I449</f>
        <v>0</v>
      </c>
      <c r="F37" s="478">
        <f>BELEDİYELER!J449</f>
        <v>687500</v>
      </c>
    </row>
    <row r="38" spans="1:6" s="50" customFormat="1" ht="25.5" customHeight="1">
      <c r="A38" s="47">
        <v>35</v>
      </c>
      <c r="B38" s="355" t="s">
        <v>1821</v>
      </c>
      <c r="C38" s="356">
        <f>BELEDİYELER!A334</f>
        <v>4</v>
      </c>
      <c r="D38" s="478">
        <f>BELEDİYELER!H335</f>
        <v>33660000</v>
      </c>
      <c r="E38" s="478">
        <f>BELEDİYELER!I335</f>
        <v>0</v>
      </c>
      <c r="F38" s="478">
        <f>BELEDİYELER!J335</f>
        <v>20876000</v>
      </c>
    </row>
    <row r="39" spans="1:6" s="53" customFormat="1" ht="25.5" customHeight="1">
      <c r="A39" s="47">
        <v>36</v>
      </c>
      <c r="B39" s="355" t="s">
        <v>1747</v>
      </c>
      <c r="C39" s="356">
        <f>BELEDİYELER!A309</f>
        <v>3</v>
      </c>
      <c r="D39" s="478">
        <f>BELEDİYELER!H310</f>
        <v>22165000</v>
      </c>
      <c r="E39" s="478">
        <f>BELEDİYELER!I310</f>
        <v>0</v>
      </c>
      <c r="F39" s="478">
        <f>BELEDİYELER!J310</f>
        <v>22165000</v>
      </c>
    </row>
    <row r="40" spans="1:6" s="53" customFormat="1" ht="25.5" customHeight="1">
      <c r="A40" s="49">
        <v>37</v>
      </c>
      <c r="B40" s="355" t="s">
        <v>1868</v>
      </c>
      <c r="C40" s="448">
        <f>BELEDİYELER!A443</f>
        <v>4</v>
      </c>
      <c r="D40" s="478">
        <f>BELEDİYELER!H444</f>
        <v>18507861.807</v>
      </c>
      <c r="E40" s="478">
        <f>BELEDİYELER!I444</f>
        <v>2775462.68</v>
      </c>
      <c r="F40" s="478">
        <f>BELEDİYELER!J444</f>
        <v>13684391.126999998</v>
      </c>
    </row>
    <row r="41" spans="1:6" s="53" customFormat="1" ht="32.25" customHeight="1">
      <c r="A41" s="47">
        <v>38</v>
      </c>
      <c r="B41" s="355" t="s">
        <v>1869</v>
      </c>
      <c r="C41" s="736" t="s">
        <v>2013</v>
      </c>
      <c r="D41" s="737"/>
      <c r="E41" s="737"/>
      <c r="F41" s="738"/>
    </row>
    <row r="42" spans="1:6" s="53" customFormat="1" ht="25.5" customHeight="1">
      <c r="A42" s="47">
        <v>39</v>
      </c>
      <c r="B42" s="355" t="s">
        <v>1870</v>
      </c>
      <c r="C42" s="448">
        <f>BELEDİYELER!A454</f>
        <v>3</v>
      </c>
      <c r="D42" s="478">
        <f>BELEDİYELER!H455</f>
        <v>103729220</v>
      </c>
      <c r="E42" s="478">
        <f>BELEDİYELER!I455</f>
        <v>10759923</v>
      </c>
      <c r="F42" s="478">
        <f>BELEDİYELER!J455</f>
        <v>39886381</v>
      </c>
    </row>
    <row r="43" spans="1:6" s="53" customFormat="1" ht="25.5" customHeight="1">
      <c r="A43" s="49">
        <v>40</v>
      </c>
      <c r="B43" s="355" t="s">
        <v>1871</v>
      </c>
      <c r="C43" s="448">
        <f>BELEDİYELER!A466</f>
        <v>9</v>
      </c>
      <c r="D43" s="478">
        <f>BELEDİYELER!H467</f>
        <v>13900000</v>
      </c>
      <c r="E43" s="478">
        <f>BELEDİYELER!I467</f>
        <v>0</v>
      </c>
      <c r="F43" s="478">
        <f>BELEDİYELER!J467</f>
        <v>0</v>
      </c>
    </row>
    <row r="44" spans="1:6" s="54" customFormat="1" ht="25.5" customHeight="1">
      <c r="A44" s="47">
        <v>41</v>
      </c>
      <c r="B44" s="355" t="s">
        <v>1318</v>
      </c>
      <c r="C44" s="356">
        <f>BELEDİYELER!A152</f>
        <v>6</v>
      </c>
      <c r="D44" s="478">
        <f>BELEDİYELER!H153</f>
        <v>45012933.18</v>
      </c>
      <c r="E44" s="478">
        <f>BELEDİYELER!I153</f>
        <v>414226</v>
      </c>
      <c r="F44" s="478">
        <f>BELEDİYELER!J153</f>
        <v>38919105.472000003</v>
      </c>
    </row>
    <row r="45" spans="1:6" s="31" customFormat="1" ht="25.5" customHeight="1">
      <c r="A45" s="47">
        <v>42</v>
      </c>
      <c r="B45" s="355" t="s">
        <v>1865</v>
      </c>
      <c r="C45" s="356">
        <f>BELEDİYELER!A320</f>
        <v>8</v>
      </c>
      <c r="D45" s="478">
        <f>BELEDİYELER!H321</f>
        <v>202138126.77400002</v>
      </c>
      <c r="E45" s="478">
        <f>BELEDİYELER!I321</f>
        <v>164002084.28419998</v>
      </c>
      <c r="F45" s="478">
        <f>BELEDİYELER!J321</f>
        <v>129656042.4858</v>
      </c>
    </row>
    <row r="46" spans="1:6" s="50" customFormat="1" ht="25.5" customHeight="1" thickBot="1">
      <c r="A46" s="49">
        <v>43</v>
      </c>
      <c r="B46" s="359" t="s">
        <v>163</v>
      </c>
      <c r="C46" s="360">
        <f>BELEDİYELER!A94</f>
        <v>7</v>
      </c>
      <c r="D46" s="479">
        <f>BELEDİYELER!H95</f>
        <v>100895621.52</v>
      </c>
      <c r="E46" s="479">
        <f>BELEDİYELER!I95</f>
        <v>7821926.8289999999</v>
      </c>
      <c r="F46" s="479">
        <f>BELEDİYELER!J95</f>
        <v>52693397.519235298</v>
      </c>
    </row>
    <row r="47" spans="1:6" s="38" customFormat="1" ht="64.5" customHeight="1" thickBot="1">
      <c r="A47" s="39"/>
      <c r="B47" s="40" t="s">
        <v>168</v>
      </c>
      <c r="C47" s="34">
        <f>SUM(C4:C46)</f>
        <v>346</v>
      </c>
      <c r="D47" s="481">
        <f>SUM(D4:D46)</f>
        <v>134161027188.58353</v>
      </c>
      <c r="E47" s="481">
        <f t="shared" ref="E47:F47" si="0">SUM(E4:E46)</f>
        <v>30465993566.647495</v>
      </c>
      <c r="F47" s="481">
        <f t="shared" si="0"/>
        <v>25737606324.726639</v>
      </c>
    </row>
    <row r="52" spans="2:6" ht="21">
      <c r="B52" s="469"/>
      <c r="C52" s="469"/>
      <c r="D52" s="537"/>
      <c r="E52" s="538"/>
      <c r="F52" s="539"/>
    </row>
    <row r="53" spans="2:6" ht="20.25">
      <c r="B53" s="466"/>
      <c r="C53" s="734"/>
      <c r="D53" s="734"/>
      <c r="E53" s="735"/>
      <c r="F53" s="735"/>
    </row>
    <row r="54" spans="2:6" ht="20.25">
      <c r="B54" s="466"/>
      <c r="C54" s="735"/>
      <c r="D54" s="735"/>
      <c r="E54" s="735"/>
      <c r="F54" s="735"/>
    </row>
    <row r="55" spans="2:6" ht="15.75">
      <c r="B55" s="5"/>
      <c r="C55" s="5"/>
      <c r="D55" s="5"/>
      <c r="E55" s="5"/>
      <c r="F55" s="5"/>
    </row>
  </sheetData>
  <autoFilter ref="B1:B47"/>
  <sortState ref="B5:F35">
    <sortCondition ref="B5:B35"/>
  </sortState>
  <mergeCells count="9">
    <mergeCell ref="A1:F2"/>
    <mergeCell ref="C53:D53"/>
    <mergeCell ref="C54:D54"/>
    <mergeCell ref="E53:F53"/>
    <mergeCell ref="E54:F54"/>
    <mergeCell ref="C15:F15"/>
    <mergeCell ref="C9:F9"/>
    <mergeCell ref="C8:F8"/>
    <mergeCell ref="C41:F41"/>
  </mergeCells>
  <pageMargins left="0.43307086614173229" right="0.31496062992125984" top="0.51181102362204722" bottom="0.31496062992125984" header="0.31496062992125984" footer="0.31496062992125984"/>
  <pageSetup paperSize="9" scale="72"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S481"/>
  <sheetViews>
    <sheetView view="pageBreakPreview" zoomScale="70" zoomScaleNormal="85" zoomScaleSheetLayoutView="70" zoomScalePageLayoutView="70" workbookViewId="0">
      <pane ySplit="4" topLeftCell="A56" activePane="bottomLeft" state="frozen"/>
      <selection pane="bottomLeft" activeCell="K474" sqref="K474"/>
    </sheetView>
  </sheetViews>
  <sheetFormatPr defaultRowHeight="15"/>
  <cols>
    <col min="1" max="1" width="3.7109375" style="8" customWidth="1"/>
    <col min="2" max="2" width="16.42578125" style="8" customWidth="1"/>
    <col min="3" max="3" width="60.28515625" style="127" customWidth="1"/>
    <col min="4" max="4" width="21.7109375" style="8" customWidth="1"/>
    <col min="5" max="5" width="21" style="127" customWidth="1"/>
    <col min="6" max="6" width="18.42578125" style="8" customWidth="1"/>
    <col min="7" max="7" width="17.5703125" style="8" customWidth="1"/>
    <col min="8" max="8" width="21.5703125" style="133" customWidth="1"/>
    <col min="9" max="9" width="27" style="133" bestFit="1" customWidth="1"/>
    <col min="10" max="10" width="22.42578125" style="133" bestFit="1" customWidth="1"/>
    <col min="11" max="11" width="20.140625" style="133" customWidth="1"/>
    <col min="12" max="12" width="18.28515625" style="133" bestFit="1" customWidth="1"/>
    <col min="13" max="13" width="18.28515625" style="133" customWidth="1"/>
    <col min="14" max="15" width="18.28515625" style="133" bestFit="1" customWidth="1"/>
    <col min="16" max="16" width="19.5703125" style="127" customWidth="1"/>
    <col min="17" max="20" width="0" hidden="1" customWidth="1"/>
  </cols>
  <sheetData>
    <row r="1" spans="1:16" ht="32.25" customHeight="1">
      <c r="A1" s="753" t="s">
        <v>185</v>
      </c>
      <c r="B1" s="753"/>
      <c r="C1" s="753"/>
      <c r="D1" s="753"/>
      <c r="E1" s="753"/>
      <c r="F1" s="753"/>
      <c r="G1" s="753"/>
      <c r="H1" s="753"/>
      <c r="I1" s="753"/>
      <c r="J1" s="753"/>
      <c r="K1" s="753"/>
      <c r="L1" s="753"/>
      <c r="M1" s="753"/>
      <c r="N1" s="753"/>
      <c r="O1" s="753"/>
      <c r="P1" s="753"/>
    </row>
    <row r="2" spans="1:16" ht="15" customHeight="1">
      <c r="A2" s="753"/>
      <c r="B2" s="753"/>
      <c r="C2" s="753"/>
      <c r="D2" s="753"/>
      <c r="E2" s="753"/>
      <c r="F2" s="753"/>
      <c r="G2" s="753"/>
      <c r="H2" s="753"/>
      <c r="I2" s="753"/>
      <c r="J2" s="753"/>
      <c r="K2" s="753"/>
      <c r="L2" s="753"/>
      <c r="M2" s="753"/>
      <c r="N2" s="753"/>
      <c r="O2" s="753"/>
      <c r="P2" s="753"/>
    </row>
    <row r="3" spans="1:16" s="100" customFormat="1" ht="42" customHeight="1">
      <c r="A3" s="754" t="s">
        <v>0</v>
      </c>
      <c r="B3" s="755" t="s">
        <v>1</v>
      </c>
      <c r="C3" s="755" t="s">
        <v>2</v>
      </c>
      <c r="D3" s="754" t="s">
        <v>3</v>
      </c>
      <c r="E3" s="755" t="s">
        <v>4</v>
      </c>
      <c r="F3" s="754" t="s">
        <v>5</v>
      </c>
      <c r="G3" s="754"/>
      <c r="H3" s="756" t="s">
        <v>6</v>
      </c>
      <c r="I3" s="757" t="s">
        <v>7</v>
      </c>
      <c r="J3" s="756" t="s">
        <v>8</v>
      </c>
      <c r="K3" s="756"/>
      <c r="L3" s="757" t="s">
        <v>11</v>
      </c>
      <c r="M3" s="757"/>
      <c r="N3" s="757"/>
      <c r="O3" s="757"/>
      <c r="P3" s="755" t="s">
        <v>16</v>
      </c>
    </row>
    <row r="4" spans="1:16" s="100" customFormat="1" ht="38.25" customHeight="1">
      <c r="A4" s="754"/>
      <c r="B4" s="755"/>
      <c r="C4" s="755"/>
      <c r="D4" s="754"/>
      <c r="E4" s="755"/>
      <c r="F4" s="315" t="s">
        <v>17</v>
      </c>
      <c r="G4" s="363" t="s">
        <v>18</v>
      </c>
      <c r="H4" s="756"/>
      <c r="I4" s="757"/>
      <c r="J4" s="364" t="s">
        <v>9</v>
      </c>
      <c r="K4" s="364" t="s">
        <v>10</v>
      </c>
      <c r="L4" s="364" t="s">
        <v>12</v>
      </c>
      <c r="M4" s="364" t="s">
        <v>13</v>
      </c>
      <c r="N4" s="364" t="s">
        <v>14</v>
      </c>
      <c r="O4" s="364" t="s">
        <v>15</v>
      </c>
      <c r="P4" s="755"/>
    </row>
    <row r="5" spans="1:16" ht="13.5" customHeight="1">
      <c r="A5" s="749"/>
      <c r="B5" s="749"/>
      <c r="C5" s="749"/>
      <c r="D5" s="749"/>
      <c r="E5" s="749"/>
      <c r="F5" s="749"/>
      <c r="G5" s="749"/>
      <c r="H5" s="749"/>
      <c r="I5" s="749"/>
      <c r="J5" s="749"/>
      <c r="K5" s="749"/>
      <c r="L5" s="749"/>
      <c r="M5" s="749"/>
      <c r="N5" s="749"/>
      <c r="O5" s="749"/>
      <c r="P5" s="749"/>
    </row>
    <row r="6" spans="1:16" ht="27.75" customHeight="1">
      <c r="A6" s="680" t="s">
        <v>118</v>
      </c>
      <c r="B6" s="680"/>
      <c r="C6" s="680"/>
      <c r="D6" s="680"/>
      <c r="E6" s="680"/>
      <c r="F6" s="680"/>
      <c r="G6" s="680"/>
      <c r="H6" s="680"/>
      <c r="I6" s="680"/>
      <c r="J6" s="680"/>
      <c r="K6" s="680"/>
      <c r="L6" s="680"/>
      <c r="M6" s="680"/>
      <c r="N6" s="680"/>
      <c r="O6" s="680"/>
      <c r="P6" s="680"/>
    </row>
    <row r="7" spans="1:16" ht="94.5">
      <c r="A7" s="158">
        <v>1</v>
      </c>
      <c r="B7" s="165" t="s">
        <v>40</v>
      </c>
      <c r="C7" s="160" t="s">
        <v>658</v>
      </c>
      <c r="D7" s="165" t="s">
        <v>674</v>
      </c>
      <c r="E7" s="165" t="s">
        <v>689</v>
      </c>
      <c r="F7" s="165" t="s">
        <v>697</v>
      </c>
      <c r="G7" s="295" t="s">
        <v>698</v>
      </c>
      <c r="H7" s="176">
        <v>8296879000</v>
      </c>
      <c r="I7" s="176">
        <v>3241664000</v>
      </c>
      <c r="J7" s="176">
        <v>143911000</v>
      </c>
      <c r="K7" s="176">
        <v>143911000</v>
      </c>
      <c r="L7" s="176">
        <v>35977750</v>
      </c>
      <c r="M7" s="176">
        <v>35977750</v>
      </c>
      <c r="N7" s="176">
        <v>35977750</v>
      </c>
      <c r="O7" s="176">
        <v>35977750</v>
      </c>
      <c r="P7" s="160" t="s">
        <v>708</v>
      </c>
    </row>
    <row r="8" spans="1:16" ht="65.25" customHeight="1">
      <c r="A8" s="158">
        <v>2</v>
      </c>
      <c r="B8" s="165" t="s">
        <v>40</v>
      </c>
      <c r="C8" s="161" t="s">
        <v>119</v>
      </c>
      <c r="D8" s="171" t="s">
        <v>675</v>
      </c>
      <c r="E8" s="171" t="s">
        <v>690</v>
      </c>
      <c r="F8" s="171" t="s">
        <v>699</v>
      </c>
      <c r="G8" s="158" t="s">
        <v>700</v>
      </c>
      <c r="H8" s="176">
        <v>718019000</v>
      </c>
      <c r="I8" s="176">
        <v>363334000</v>
      </c>
      <c r="J8" s="176">
        <v>4501000</v>
      </c>
      <c r="K8" s="176">
        <v>4501000</v>
      </c>
      <c r="L8" s="176">
        <v>1125250</v>
      </c>
      <c r="M8" s="176">
        <v>1125250</v>
      </c>
      <c r="N8" s="176">
        <v>1125250</v>
      </c>
      <c r="O8" s="176">
        <v>1125250</v>
      </c>
      <c r="P8" s="161" t="s">
        <v>709</v>
      </c>
    </row>
    <row r="9" spans="1:16" ht="47.25">
      <c r="A9" s="158">
        <v>3</v>
      </c>
      <c r="B9" s="165" t="s">
        <v>40</v>
      </c>
      <c r="C9" s="161" t="s">
        <v>120</v>
      </c>
      <c r="D9" s="171" t="s">
        <v>676</v>
      </c>
      <c r="E9" s="165" t="s">
        <v>689</v>
      </c>
      <c r="F9" s="171" t="s">
        <v>699</v>
      </c>
      <c r="G9" s="158" t="s">
        <v>701</v>
      </c>
      <c r="H9" s="176">
        <v>9999076000</v>
      </c>
      <c r="I9" s="176">
        <v>3809632000</v>
      </c>
      <c r="J9" s="176">
        <v>1587811000</v>
      </c>
      <c r="K9" s="176">
        <v>1587811000</v>
      </c>
      <c r="L9" s="176">
        <v>396952750</v>
      </c>
      <c r="M9" s="176">
        <v>396952750</v>
      </c>
      <c r="N9" s="176">
        <v>396952750</v>
      </c>
      <c r="O9" s="176">
        <v>396952750</v>
      </c>
      <c r="P9" s="161"/>
    </row>
    <row r="10" spans="1:16" ht="47.25">
      <c r="A10" s="158">
        <v>4</v>
      </c>
      <c r="B10" s="165" t="s">
        <v>40</v>
      </c>
      <c r="C10" s="161" t="s">
        <v>659</v>
      </c>
      <c r="D10" s="171" t="s">
        <v>677</v>
      </c>
      <c r="E10" s="165" t="s">
        <v>689</v>
      </c>
      <c r="F10" s="171" t="s">
        <v>702</v>
      </c>
      <c r="G10" s="158" t="s">
        <v>703</v>
      </c>
      <c r="H10" s="176">
        <v>4604952000</v>
      </c>
      <c r="I10" s="176">
        <v>1241379000</v>
      </c>
      <c r="J10" s="176">
        <v>767518000</v>
      </c>
      <c r="K10" s="176">
        <v>767518000</v>
      </c>
      <c r="L10" s="176">
        <v>191879500</v>
      </c>
      <c r="M10" s="176">
        <v>191879500</v>
      </c>
      <c r="N10" s="176">
        <v>191879500</v>
      </c>
      <c r="O10" s="176">
        <v>191879500</v>
      </c>
      <c r="P10" s="161"/>
    </row>
    <row r="11" spans="1:16" ht="65.25" customHeight="1">
      <c r="A11" s="158">
        <v>5</v>
      </c>
      <c r="B11" s="165" t="s">
        <v>40</v>
      </c>
      <c r="C11" s="161" t="s">
        <v>660</v>
      </c>
      <c r="D11" s="171" t="s">
        <v>678</v>
      </c>
      <c r="E11" s="165" t="s">
        <v>689</v>
      </c>
      <c r="F11" s="171" t="s">
        <v>702</v>
      </c>
      <c r="G11" s="158" t="s">
        <v>698</v>
      </c>
      <c r="H11" s="176">
        <v>5741685000</v>
      </c>
      <c r="I11" s="176">
        <v>729309000</v>
      </c>
      <c r="J11" s="176">
        <v>2460725000</v>
      </c>
      <c r="K11" s="176">
        <v>2460725000</v>
      </c>
      <c r="L11" s="176">
        <v>615181250</v>
      </c>
      <c r="M11" s="176">
        <v>615181250</v>
      </c>
      <c r="N11" s="176">
        <v>615181250</v>
      </c>
      <c r="O11" s="176">
        <v>615181250</v>
      </c>
      <c r="P11" s="321" t="s">
        <v>711</v>
      </c>
    </row>
    <row r="12" spans="1:16" ht="47.25">
      <c r="A12" s="158">
        <v>6</v>
      </c>
      <c r="B12" s="165" t="s">
        <v>40</v>
      </c>
      <c r="C12" s="161" t="s">
        <v>661</v>
      </c>
      <c r="D12" s="171" t="s">
        <v>679</v>
      </c>
      <c r="E12" s="165" t="s">
        <v>689</v>
      </c>
      <c r="F12" s="171" t="s">
        <v>702</v>
      </c>
      <c r="G12" s="158" t="s">
        <v>701</v>
      </c>
      <c r="H12" s="176">
        <v>5873210000</v>
      </c>
      <c r="I12" s="176">
        <v>0</v>
      </c>
      <c r="J12" s="176">
        <v>1904302000</v>
      </c>
      <c r="K12" s="176">
        <v>1904302000</v>
      </c>
      <c r="L12" s="176">
        <v>476075500</v>
      </c>
      <c r="M12" s="176">
        <v>476075500</v>
      </c>
      <c r="N12" s="176">
        <v>476075500</v>
      </c>
      <c r="O12" s="176">
        <v>476075500</v>
      </c>
      <c r="P12" s="321" t="s">
        <v>712</v>
      </c>
    </row>
    <row r="13" spans="1:16" ht="65.25" customHeight="1">
      <c r="A13" s="158">
        <v>7</v>
      </c>
      <c r="B13" s="165" t="s">
        <v>40</v>
      </c>
      <c r="C13" s="161" t="s">
        <v>662</v>
      </c>
      <c r="D13" s="171" t="s">
        <v>680</v>
      </c>
      <c r="E13" s="165" t="s">
        <v>689</v>
      </c>
      <c r="F13" s="171" t="s">
        <v>702</v>
      </c>
      <c r="G13" s="158" t="s">
        <v>701</v>
      </c>
      <c r="H13" s="176">
        <v>4535524000</v>
      </c>
      <c r="I13" s="176">
        <v>223531000</v>
      </c>
      <c r="J13" s="176">
        <v>2471224000</v>
      </c>
      <c r="K13" s="176">
        <v>2471224000</v>
      </c>
      <c r="L13" s="176">
        <v>617806000</v>
      </c>
      <c r="M13" s="176">
        <v>617806000</v>
      </c>
      <c r="N13" s="176">
        <v>617806000</v>
      </c>
      <c r="O13" s="176">
        <v>617806000</v>
      </c>
      <c r="P13" s="161" t="s">
        <v>711</v>
      </c>
    </row>
    <row r="14" spans="1:16" ht="78.75">
      <c r="A14" s="158">
        <v>8</v>
      </c>
      <c r="B14" s="165" t="s">
        <v>40</v>
      </c>
      <c r="C14" s="161" t="s">
        <v>663</v>
      </c>
      <c r="D14" s="171" t="s">
        <v>681</v>
      </c>
      <c r="E14" s="165" t="s">
        <v>691</v>
      </c>
      <c r="F14" s="171" t="s">
        <v>702</v>
      </c>
      <c r="G14" s="158" t="s">
        <v>703</v>
      </c>
      <c r="H14" s="176">
        <v>9299325000</v>
      </c>
      <c r="I14" s="176">
        <v>74943000</v>
      </c>
      <c r="J14" s="176">
        <v>4513158000</v>
      </c>
      <c r="K14" s="176">
        <v>4513158000</v>
      </c>
      <c r="L14" s="176">
        <v>1128289500</v>
      </c>
      <c r="M14" s="176">
        <v>1128289500</v>
      </c>
      <c r="N14" s="176">
        <v>1128289500</v>
      </c>
      <c r="O14" s="176">
        <v>1128289500</v>
      </c>
      <c r="P14" s="161"/>
    </row>
    <row r="15" spans="1:16" ht="189">
      <c r="A15" s="158">
        <v>9</v>
      </c>
      <c r="B15" s="165" t="s">
        <v>40</v>
      </c>
      <c r="C15" s="161" t="s">
        <v>664</v>
      </c>
      <c r="D15" s="171" t="s">
        <v>682</v>
      </c>
      <c r="E15" s="171" t="s">
        <v>690</v>
      </c>
      <c r="F15" s="171" t="s">
        <v>704</v>
      </c>
      <c r="G15" s="158" t="s">
        <v>703</v>
      </c>
      <c r="H15" s="176">
        <v>3337899000</v>
      </c>
      <c r="I15" s="176">
        <v>549321000</v>
      </c>
      <c r="J15" s="176">
        <v>82492000</v>
      </c>
      <c r="K15" s="176">
        <v>82492000</v>
      </c>
      <c r="L15" s="176">
        <v>20623000</v>
      </c>
      <c r="M15" s="176">
        <v>20623000</v>
      </c>
      <c r="N15" s="176">
        <v>20623000</v>
      </c>
      <c r="O15" s="176">
        <v>20623000</v>
      </c>
      <c r="P15" s="161" t="s">
        <v>713</v>
      </c>
    </row>
    <row r="16" spans="1:16" ht="15.75">
      <c r="A16" s="158">
        <v>10</v>
      </c>
      <c r="B16" s="165" t="s">
        <v>40</v>
      </c>
      <c r="C16" s="161" t="s">
        <v>665</v>
      </c>
      <c r="D16" s="171" t="s">
        <v>683</v>
      </c>
      <c r="E16" s="171" t="s">
        <v>690</v>
      </c>
      <c r="F16" s="171" t="s">
        <v>704</v>
      </c>
      <c r="G16" s="158" t="s">
        <v>703</v>
      </c>
      <c r="H16" s="176">
        <v>667552000</v>
      </c>
      <c r="I16" s="176">
        <v>0</v>
      </c>
      <c r="J16" s="176">
        <v>1000000</v>
      </c>
      <c r="K16" s="176">
        <v>1000000</v>
      </c>
      <c r="L16" s="176">
        <v>250000</v>
      </c>
      <c r="M16" s="176">
        <v>250000</v>
      </c>
      <c r="N16" s="176">
        <v>250000</v>
      </c>
      <c r="O16" s="176">
        <v>250000</v>
      </c>
      <c r="P16" s="161"/>
    </row>
    <row r="17" spans="1:16" ht="47.25">
      <c r="A17" s="158">
        <v>11</v>
      </c>
      <c r="B17" s="165" t="s">
        <v>40</v>
      </c>
      <c r="C17" s="161" t="s">
        <v>666</v>
      </c>
      <c r="D17" s="171" t="s">
        <v>684</v>
      </c>
      <c r="E17" s="165" t="s">
        <v>689</v>
      </c>
      <c r="F17" s="171" t="s">
        <v>704</v>
      </c>
      <c r="G17" s="158" t="s">
        <v>703</v>
      </c>
      <c r="H17" s="176">
        <v>8663562000</v>
      </c>
      <c r="I17" s="176">
        <v>0</v>
      </c>
      <c r="J17" s="176">
        <v>3598994000</v>
      </c>
      <c r="K17" s="176">
        <v>3598994000</v>
      </c>
      <c r="L17" s="176">
        <v>899748500</v>
      </c>
      <c r="M17" s="176">
        <v>899748500</v>
      </c>
      <c r="N17" s="176">
        <v>899748500</v>
      </c>
      <c r="O17" s="176">
        <v>899748500</v>
      </c>
      <c r="P17" s="321"/>
    </row>
    <row r="18" spans="1:16" ht="15.75">
      <c r="A18" s="158">
        <v>12</v>
      </c>
      <c r="B18" s="165" t="s">
        <v>40</v>
      </c>
      <c r="C18" s="161" t="s">
        <v>667</v>
      </c>
      <c r="D18" s="171" t="s">
        <v>685</v>
      </c>
      <c r="E18" s="171" t="s">
        <v>692</v>
      </c>
      <c r="F18" s="171" t="s">
        <v>705</v>
      </c>
      <c r="G18" s="158" t="s">
        <v>701</v>
      </c>
      <c r="H18" s="176">
        <v>878883000</v>
      </c>
      <c r="I18" s="176">
        <v>0</v>
      </c>
      <c r="J18" s="176">
        <v>1000000</v>
      </c>
      <c r="K18" s="176">
        <v>1000000</v>
      </c>
      <c r="L18" s="176">
        <v>250000</v>
      </c>
      <c r="M18" s="176">
        <v>250000</v>
      </c>
      <c r="N18" s="176">
        <v>250000</v>
      </c>
      <c r="O18" s="176">
        <v>250000</v>
      </c>
      <c r="P18" s="321"/>
    </row>
    <row r="19" spans="1:16" ht="47.25">
      <c r="A19" s="158">
        <v>13</v>
      </c>
      <c r="B19" s="165" t="s">
        <v>40</v>
      </c>
      <c r="C19" s="161" t="s">
        <v>668</v>
      </c>
      <c r="D19" s="171" t="s">
        <v>685</v>
      </c>
      <c r="E19" s="165" t="s">
        <v>689</v>
      </c>
      <c r="F19" s="171" t="s">
        <v>705</v>
      </c>
      <c r="G19" s="158" t="s">
        <v>703</v>
      </c>
      <c r="H19" s="176">
        <v>13403192000</v>
      </c>
      <c r="I19" s="176">
        <v>0</v>
      </c>
      <c r="J19" s="176">
        <v>3000000</v>
      </c>
      <c r="K19" s="176">
        <v>3000000</v>
      </c>
      <c r="L19" s="176">
        <v>750000</v>
      </c>
      <c r="M19" s="176">
        <v>750000</v>
      </c>
      <c r="N19" s="176">
        <v>750000</v>
      </c>
      <c r="O19" s="176">
        <v>750000</v>
      </c>
      <c r="P19" s="161"/>
    </row>
    <row r="20" spans="1:16" ht="47.25">
      <c r="A20" s="158">
        <v>14</v>
      </c>
      <c r="B20" s="165" t="s">
        <v>40</v>
      </c>
      <c r="C20" s="161" t="s">
        <v>669</v>
      </c>
      <c r="D20" s="171" t="s">
        <v>686</v>
      </c>
      <c r="E20" s="171" t="s">
        <v>693</v>
      </c>
      <c r="F20" s="171" t="s">
        <v>704</v>
      </c>
      <c r="G20" s="158" t="s">
        <v>700</v>
      </c>
      <c r="H20" s="176">
        <v>1883106000</v>
      </c>
      <c r="I20" s="176">
        <v>827975000</v>
      </c>
      <c r="J20" s="176">
        <v>173796000</v>
      </c>
      <c r="K20" s="176">
        <v>173796000</v>
      </c>
      <c r="L20" s="176">
        <v>43449000</v>
      </c>
      <c r="M20" s="176">
        <v>43449000</v>
      </c>
      <c r="N20" s="176">
        <v>43449000</v>
      </c>
      <c r="O20" s="176">
        <v>43449000</v>
      </c>
      <c r="P20" s="161"/>
    </row>
    <row r="21" spans="1:16" ht="94.5">
      <c r="A21" s="158">
        <v>15</v>
      </c>
      <c r="B21" s="165" t="s">
        <v>40</v>
      </c>
      <c r="C21" s="161" t="s">
        <v>670</v>
      </c>
      <c r="D21" s="171" t="s">
        <v>687</v>
      </c>
      <c r="E21" s="165" t="s">
        <v>694</v>
      </c>
      <c r="F21" s="171" t="s">
        <v>702</v>
      </c>
      <c r="G21" s="158" t="s">
        <v>706</v>
      </c>
      <c r="H21" s="176">
        <v>5980612000</v>
      </c>
      <c r="I21" s="176">
        <v>2751199000</v>
      </c>
      <c r="J21" s="176">
        <v>904578000</v>
      </c>
      <c r="K21" s="176">
        <v>904578000</v>
      </c>
      <c r="L21" s="176">
        <v>226144500</v>
      </c>
      <c r="M21" s="176">
        <v>226144500</v>
      </c>
      <c r="N21" s="176">
        <v>226144500</v>
      </c>
      <c r="O21" s="176">
        <v>226144500</v>
      </c>
      <c r="P21" s="161" t="s">
        <v>715</v>
      </c>
    </row>
    <row r="22" spans="1:16" ht="26.25" customHeight="1">
      <c r="A22" s="158">
        <v>16</v>
      </c>
      <c r="B22" s="171" t="s">
        <v>25</v>
      </c>
      <c r="C22" s="161" t="s">
        <v>671</v>
      </c>
      <c r="D22" s="171" t="s">
        <v>688</v>
      </c>
      <c r="E22" s="171" t="s">
        <v>695</v>
      </c>
      <c r="F22" s="171" t="s">
        <v>705</v>
      </c>
      <c r="G22" s="158" t="s">
        <v>700</v>
      </c>
      <c r="H22" s="176">
        <v>3818244000</v>
      </c>
      <c r="I22" s="176">
        <v>2395750000</v>
      </c>
      <c r="J22" s="176">
        <v>923364000</v>
      </c>
      <c r="K22" s="176">
        <v>923364000</v>
      </c>
      <c r="L22" s="176">
        <v>230841000</v>
      </c>
      <c r="M22" s="176">
        <v>230841000</v>
      </c>
      <c r="N22" s="176">
        <v>230841000</v>
      </c>
      <c r="O22" s="176">
        <v>230841000</v>
      </c>
      <c r="P22" s="161"/>
    </row>
    <row r="23" spans="1:16" ht="65.25" customHeight="1">
      <c r="A23" s="158">
        <v>17</v>
      </c>
      <c r="B23" s="171" t="s">
        <v>25</v>
      </c>
      <c r="C23" s="161" t="s">
        <v>672</v>
      </c>
      <c r="D23" s="171" t="s">
        <v>198</v>
      </c>
      <c r="E23" s="171" t="s">
        <v>696</v>
      </c>
      <c r="F23" s="171" t="s">
        <v>707</v>
      </c>
      <c r="G23" s="158" t="s">
        <v>700</v>
      </c>
      <c r="H23" s="176">
        <v>112100000</v>
      </c>
      <c r="I23" s="176">
        <v>9264000</v>
      </c>
      <c r="J23" s="176">
        <v>85433000</v>
      </c>
      <c r="K23" s="176">
        <v>85433000</v>
      </c>
      <c r="L23" s="176">
        <v>21358250</v>
      </c>
      <c r="M23" s="176">
        <v>21358250</v>
      </c>
      <c r="N23" s="176">
        <v>21358250</v>
      </c>
      <c r="O23" s="176">
        <v>21358250</v>
      </c>
      <c r="P23" s="171"/>
    </row>
    <row r="24" spans="1:16" ht="65.25" customHeight="1">
      <c r="A24" s="158">
        <v>18</v>
      </c>
      <c r="B24" s="171" t="s">
        <v>25</v>
      </c>
      <c r="C24" s="161" t="s">
        <v>673</v>
      </c>
      <c r="D24" s="171" t="s">
        <v>716</v>
      </c>
      <c r="E24" s="171" t="s">
        <v>695</v>
      </c>
      <c r="F24" s="171" t="s">
        <v>704</v>
      </c>
      <c r="G24" s="158" t="s">
        <v>698</v>
      </c>
      <c r="H24" s="176">
        <v>800000000</v>
      </c>
      <c r="I24" s="176">
        <v>0</v>
      </c>
      <c r="J24" s="176">
        <v>1000000</v>
      </c>
      <c r="K24" s="176">
        <v>1000000</v>
      </c>
      <c r="L24" s="176">
        <v>250000</v>
      </c>
      <c r="M24" s="176">
        <v>250000</v>
      </c>
      <c r="N24" s="176">
        <v>250000</v>
      </c>
      <c r="O24" s="176">
        <v>250000</v>
      </c>
      <c r="P24" s="171"/>
    </row>
    <row r="25" spans="1:16" ht="30" customHeight="1">
      <c r="A25" s="763" t="s">
        <v>20</v>
      </c>
      <c r="B25" s="763"/>
      <c r="C25" s="763"/>
      <c r="D25" s="763"/>
      <c r="E25" s="763"/>
      <c r="F25" s="763"/>
      <c r="G25" s="763"/>
      <c r="H25" s="433">
        <f t="shared" ref="H25:O25" si="0">SUM(H7:H24)</f>
        <v>88613820000</v>
      </c>
      <c r="I25" s="434">
        <f t="shared" si="0"/>
        <v>16217301000</v>
      </c>
      <c r="J25" s="433">
        <f t="shared" si="0"/>
        <v>19627807000</v>
      </c>
      <c r="K25" s="433">
        <f t="shared" si="0"/>
        <v>19627807000</v>
      </c>
      <c r="L25" s="433">
        <f t="shared" si="0"/>
        <v>4906951750</v>
      </c>
      <c r="M25" s="433">
        <f t="shared" si="0"/>
        <v>4906951750</v>
      </c>
      <c r="N25" s="433">
        <f t="shared" si="0"/>
        <v>4906951750</v>
      </c>
      <c r="O25" s="433">
        <f t="shared" si="0"/>
        <v>4906951750</v>
      </c>
      <c r="P25" s="138"/>
    </row>
    <row r="26" spans="1:16" ht="13.5" customHeight="1" thickBot="1">
      <c r="A26" s="463"/>
      <c r="B26" s="464"/>
      <c r="C26" s="464"/>
      <c r="D26" s="464"/>
      <c r="E26" s="464"/>
      <c r="F26" s="464"/>
      <c r="G26" s="464"/>
      <c r="H26" s="464"/>
      <c r="I26" s="464"/>
      <c r="J26" s="464"/>
      <c r="K26" s="464"/>
      <c r="L26" s="464"/>
      <c r="M26" s="464"/>
      <c r="N26" s="464"/>
      <c r="O26" s="464"/>
      <c r="P26" s="465"/>
    </row>
    <row r="27" spans="1:16" ht="13.5" customHeight="1" thickBot="1">
      <c r="A27" s="99" t="s">
        <v>126</v>
      </c>
      <c r="B27" s="365"/>
      <c r="C27" s="300"/>
      <c r="D27" s="300"/>
      <c r="E27" s="300"/>
      <c r="F27" s="365"/>
      <c r="G27" s="365"/>
      <c r="H27" s="484"/>
      <c r="I27" s="484"/>
      <c r="J27" s="484"/>
      <c r="K27" s="484"/>
      <c r="L27" s="484"/>
      <c r="M27" s="484"/>
      <c r="N27" s="484"/>
      <c r="O27" s="484"/>
      <c r="P27" s="485"/>
    </row>
    <row r="28" spans="1:16" ht="23.25" customHeight="1">
      <c r="A28" s="200">
        <v>1</v>
      </c>
      <c r="B28" s="158" t="s">
        <v>25</v>
      </c>
      <c r="C28" s="158" t="s">
        <v>718</v>
      </c>
      <c r="D28" s="171" t="s">
        <v>23</v>
      </c>
      <c r="E28" s="171" t="s">
        <v>717</v>
      </c>
      <c r="F28" s="158">
        <v>2015</v>
      </c>
      <c r="G28" s="158">
        <v>2025</v>
      </c>
      <c r="H28" s="141">
        <v>18376679000</v>
      </c>
      <c r="I28" s="144">
        <v>7070873000</v>
      </c>
      <c r="J28" s="141">
        <v>1590962000</v>
      </c>
      <c r="K28" s="141"/>
      <c r="L28" s="141">
        <v>238644000</v>
      </c>
      <c r="M28" s="141">
        <v>397741000</v>
      </c>
      <c r="N28" s="141">
        <v>397741000</v>
      </c>
      <c r="O28" s="141">
        <v>556837000</v>
      </c>
      <c r="P28" s="171"/>
    </row>
    <row r="29" spans="1:16" ht="23.25" customHeight="1">
      <c r="A29" s="158">
        <v>2</v>
      </c>
      <c r="B29" s="158" t="s">
        <v>25</v>
      </c>
      <c r="C29" s="158" t="s">
        <v>719</v>
      </c>
      <c r="D29" s="171" t="s">
        <v>23</v>
      </c>
      <c r="E29" s="171" t="s">
        <v>722</v>
      </c>
      <c r="F29" s="158">
        <v>2015</v>
      </c>
      <c r="G29" s="158">
        <v>2025</v>
      </c>
      <c r="H29" s="141">
        <v>20840964000</v>
      </c>
      <c r="I29" s="144">
        <v>5419206000</v>
      </c>
      <c r="J29" s="141">
        <v>1606991000</v>
      </c>
      <c r="K29" s="141"/>
      <c r="L29" s="141">
        <v>241049000</v>
      </c>
      <c r="M29" s="141">
        <v>401748000</v>
      </c>
      <c r="N29" s="141">
        <v>401748000</v>
      </c>
      <c r="O29" s="141">
        <v>562447000</v>
      </c>
      <c r="P29" s="171"/>
    </row>
    <row r="30" spans="1:16" ht="23.25" customHeight="1">
      <c r="A30" s="158">
        <v>3</v>
      </c>
      <c r="B30" s="158" t="s">
        <v>25</v>
      </c>
      <c r="C30" s="158" t="s">
        <v>720</v>
      </c>
      <c r="D30" s="171" t="s">
        <v>23</v>
      </c>
      <c r="E30" s="171" t="s">
        <v>723</v>
      </c>
      <c r="F30" s="158">
        <v>2015</v>
      </c>
      <c r="G30" s="158">
        <v>2025</v>
      </c>
      <c r="H30" s="141">
        <v>253123000</v>
      </c>
      <c r="I30" s="144">
        <v>639093000</v>
      </c>
      <c r="J30" s="141">
        <v>665992000</v>
      </c>
      <c r="K30" s="141"/>
      <c r="L30" s="141">
        <v>99899000</v>
      </c>
      <c r="M30" s="141">
        <v>166498000</v>
      </c>
      <c r="N30" s="141">
        <v>166498000</v>
      </c>
      <c r="O30" s="141">
        <v>233097000</v>
      </c>
      <c r="P30" s="171"/>
    </row>
    <row r="31" spans="1:16" ht="23.25" customHeight="1">
      <c r="A31" s="351">
        <v>4</v>
      </c>
      <c r="B31" s="158" t="s">
        <v>25</v>
      </c>
      <c r="C31" s="158" t="s">
        <v>721</v>
      </c>
      <c r="D31" s="171" t="s">
        <v>23</v>
      </c>
      <c r="E31" s="171" t="s">
        <v>721</v>
      </c>
      <c r="F31" s="158">
        <v>2015</v>
      </c>
      <c r="G31" s="158">
        <v>2025</v>
      </c>
      <c r="H31" s="141">
        <v>159800000</v>
      </c>
      <c r="I31" s="144">
        <v>159800000</v>
      </c>
      <c r="J31" s="141">
        <v>25000000</v>
      </c>
      <c r="K31" s="141"/>
      <c r="L31" s="141">
        <v>3750000</v>
      </c>
      <c r="M31" s="141">
        <v>6250000</v>
      </c>
      <c r="N31" s="141">
        <v>6250000</v>
      </c>
      <c r="O31" s="141">
        <v>8750000</v>
      </c>
      <c r="P31" s="171"/>
    </row>
    <row r="32" spans="1:16" ht="27.75" customHeight="1" thickBot="1">
      <c r="A32" s="742" t="s">
        <v>20</v>
      </c>
      <c r="B32" s="742"/>
      <c r="C32" s="742"/>
      <c r="D32" s="742"/>
      <c r="E32" s="742"/>
      <c r="F32" s="742"/>
      <c r="G32" s="742"/>
      <c r="H32" s="433">
        <f t="shared" ref="H32:O32" si="1">SUM(H28:H31)</f>
        <v>39630566000</v>
      </c>
      <c r="I32" s="433">
        <f t="shared" si="1"/>
        <v>13288972000</v>
      </c>
      <c r="J32" s="433">
        <f t="shared" si="1"/>
        <v>3888945000</v>
      </c>
      <c r="K32" s="433">
        <f t="shared" si="1"/>
        <v>0</v>
      </c>
      <c r="L32" s="433">
        <f t="shared" si="1"/>
        <v>583342000</v>
      </c>
      <c r="M32" s="433">
        <f t="shared" si="1"/>
        <v>972237000</v>
      </c>
      <c r="N32" s="433">
        <f t="shared" si="1"/>
        <v>972237000</v>
      </c>
      <c r="O32" s="433">
        <f t="shared" si="1"/>
        <v>1361131000</v>
      </c>
      <c r="P32" s="138"/>
    </row>
    <row r="33" spans="1:16" ht="13.5" customHeight="1" thickBot="1">
      <c r="A33" s="671"/>
      <c r="B33" s="672"/>
      <c r="C33" s="672"/>
      <c r="D33" s="672"/>
      <c r="E33" s="672"/>
      <c r="F33" s="672"/>
      <c r="G33" s="672"/>
      <c r="H33" s="672"/>
      <c r="I33" s="672"/>
      <c r="J33" s="672"/>
      <c r="K33" s="672"/>
      <c r="L33" s="672"/>
      <c r="M33" s="672"/>
      <c r="N33" s="672"/>
      <c r="O33" s="672"/>
      <c r="P33" s="673"/>
    </row>
    <row r="34" spans="1:16" ht="28.5" customHeight="1" thickBot="1">
      <c r="A34" s="652" t="s">
        <v>125</v>
      </c>
      <c r="B34" s="653"/>
      <c r="C34" s="653"/>
      <c r="D34" s="653"/>
      <c r="E34" s="653"/>
      <c r="F34" s="653"/>
      <c r="G34" s="653"/>
      <c r="H34" s="653"/>
      <c r="I34" s="653"/>
      <c r="J34" s="653"/>
      <c r="K34" s="653"/>
      <c r="L34" s="653"/>
      <c r="M34" s="653"/>
      <c r="N34" s="653"/>
      <c r="O34" s="653"/>
      <c r="P34" s="654"/>
    </row>
    <row r="35" spans="1:16" ht="29.25" customHeight="1">
      <c r="A35" s="200">
        <v>1</v>
      </c>
      <c r="B35" s="200" t="s">
        <v>40</v>
      </c>
      <c r="C35" s="337" t="s">
        <v>1749</v>
      </c>
      <c r="D35" s="337" t="s">
        <v>1216</v>
      </c>
      <c r="E35" s="170"/>
      <c r="F35" s="200">
        <v>2015</v>
      </c>
      <c r="G35" s="200">
        <v>2023</v>
      </c>
      <c r="H35" s="482">
        <v>23000000</v>
      </c>
      <c r="I35" s="482">
        <v>2036165.8</v>
      </c>
      <c r="J35" s="482">
        <v>17000000</v>
      </c>
      <c r="K35" s="147"/>
      <c r="L35" s="147">
        <f t="shared" ref="L35:L46" si="2">J35/4</f>
        <v>4250000</v>
      </c>
      <c r="M35" s="147">
        <v>4250000</v>
      </c>
      <c r="N35" s="147">
        <v>4250000</v>
      </c>
      <c r="O35" s="147">
        <v>4250000</v>
      </c>
      <c r="P35" s="366"/>
    </row>
    <row r="36" spans="1:16" ht="39.75" customHeight="1">
      <c r="A36" s="158">
        <v>2</v>
      </c>
      <c r="B36" s="200" t="s">
        <v>40</v>
      </c>
      <c r="C36" s="337" t="s">
        <v>1750</v>
      </c>
      <c r="D36" s="337" t="s">
        <v>1216</v>
      </c>
      <c r="E36" s="171"/>
      <c r="F36" s="200">
        <v>2016</v>
      </c>
      <c r="G36" s="200">
        <v>2023</v>
      </c>
      <c r="H36" s="482">
        <v>63290000</v>
      </c>
      <c r="I36" s="482">
        <v>15515501.76</v>
      </c>
      <c r="J36" s="482">
        <v>3100000</v>
      </c>
      <c r="K36" s="141"/>
      <c r="L36" s="147">
        <f t="shared" si="2"/>
        <v>775000</v>
      </c>
      <c r="M36" s="141">
        <v>775000</v>
      </c>
      <c r="N36" s="141">
        <v>775000</v>
      </c>
      <c r="O36" s="141">
        <v>775000</v>
      </c>
      <c r="P36" s="140"/>
    </row>
    <row r="37" spans="1:16" ht="36" customHeight="1">
      <c r="A37" s="158">
        <v>3</v>
      </c>
      <c r="B37" s="200" t="s">
        <v>40</v>
      </c>
      <c r="C37" s="337" t="s">
        <v>1751</v>
      </c>
      <c r="D37" s="337" t="s">
        <v>1216</v>
      </c>
      <c r="E37" s="171"/>
      <c r="F37" s="200">
        <v>2014</v>
      </c>
      <c r="G37" s="200">
        <v>2023</v>
      </c>
      <c r="H37" s="483">
        <v>17250000</v>
      </c>
      <c r="I37" s="482">
        <v>10592699</v>
      </c>
      <c r="J37" s="482">
        <v>4000000</v>
      </c>
      <c r="K37" s="141"/>
      <c r="L37" s="147">
        <f t="shared" si="2"/>
        <v>1000000</v>
      </c>
      <c r="M37" s="141">
        <v>1000000</v>
      </c>
      <c r="N37" s="141">
        <v>1000000</v>
      </c>
      <c r="O37" s="141">
        <v>1000000</v>
      </c>
      <c r="P37" s="140"/>
    </row>
    <row r="38" spans="1:16" ht="29.25" customHeight="1">
      <c r="A38" s="158">
        <v>4</v>
      </c>
      <c r="B38" s="200" t="s">
        <v>40</v>
      </c>
      <c r="C38" s="337" t="s">
        <v>1752</v>
      </c>
      <c r="D38" s="337" t="s">
        <v>1216</v>
      </c>
      <c r="E38" s="171"/>
      <c r="F38" s="200">
        <v>2013</v>
      </c>
      <c r="G38" s="200">
        <v>2023</v>
      </c>
      <c r="H38" s="482">
        <v>295566000</v>
      </c>
      <c r="I38" s="482">
        <v>3774310</v>
      </c>
      <c r="J38" s="482">
        <v>166816000</v>
      </c>
      <c r="K38" s="141"/>
      <c r="L38" s="147">
        <f t="shared" si="2"/>
        <v>41704000</v>
      </c>
      <c r="M38" s="141">
        <v>41704000</v>
      </c>
      <c r="N38" s="141">
        <v>41704000</v>
      </c>
      <c r="O38" s="141">
        <v>41704000</v>
      </c>
      <c r="P38" s="140"/>
    </row>
    <row r="39" spans="1:16" ht="29.25" customHeight="1">
      <c r="A39" s="158">
        <v>5</v>
      </c>
      <c r="B39" s="200" t="s">
        <v>40</v>
      </c>
      <c r="C39" s="337" t="s">
        <v>1753</v>
      </c>
      <c r="D39" s="337" t="s">
        <v>1216</v>
      </c>
      <c r="E39" s="171"/>
      <c r="F39" s="200">
        <v>2016</v>
      </c>
      <c r="G39" s="200">
        <v>2023</v>
      </c>
      <c r="H39" s="482">
        <v>59110000</v>
      </c>
      <c r="I39" s="482">
        <v>1440666</v>
      </c>
      <c r="J39" s="482">
        <v>19360000</v>
      </c>
      <c r="K39" s="141"/>
      <c r="L39" s="147">
        <f t="shared" si="2"/>
        <v>4840000</v>
      </c>
      <c r="M39" s="141">
        <v>4840000</v>
      </c>
      <c r="N39" s="141">
        <v>4840000</v>
      </c>
      <c r="O39" s="141">
        <v>4840000</v>
      </c>
      <c r="P39" s="140"/>
    </row>
    <row r="40" spans="1:16" ht="29.25" customHeight="1">
      <c r="A40" s="158">
        <v>6</v>
      </c>
      <c r="B40" s="200" t="s">
        <v>40</v>
      </c>
      <c r="C40" s="337" t="s">
        <v>1754</v>
      </c>
      <c r="D40" s="337" t="s">
        <v>1216</v>
      </c>
      <c r="E40" s="171"/>
      <c r="F40" s="200">
        <v>2018</v>
      </c>
      <c r="G40" s="200">
        <v>2023</v>
      </c>
      <c r="H40" s="482">
        <v>4500000</v>
      </c>
      <c r="I40" s="482">
        <v>3756643</v>
      </c>
      <c r="J40" s="482">
        <v>700000</v>
      </c>
      <c r="K40" s="141"/>
      <c r="L40" s="147">
        <f t="shared" si="2"/>
        <v>175000</v>
      </c>
      <c r="M40" s="141">
        <v>175000</v>
      </c>
      <c r="N40" s="141">
        <v>175000</v>
      </c>
      <c r="O40" s="141">
        <v>175000</v>
      </c>
      <c r="P40" s="140"/>
    </row>
    <row r="41" spans="1:16" ht="34.5" customHeight="1">
      <c r="A41" s="158">
        <v>7</v>
      </c>
      <c r="B41" s="200" t="s">
        <v>40</v>
      </c>
      <c r="C41" s="338" t="s">
        <v>1755</v>
      </c>
      <c r="D41" s="338" t="s">
        <v>1216</v>
      </c>
      <c r="E41" s="171"/>
      <c r="F41" s="339">
        <v>2014</v>
      </c>
      <c r="G41" s="200">
        <v>2021</v>
      </c>
      <c r="H41" s="482">
        <v>600450000</v>
      </c>
      <c r="I41" s="482">
        <v>20586037.666666668</v>
      </c>
      <c r="J41" s="482">
        <v>500450000</v>
      </c>
      <c r="K41" s="141"/>
      <c r="L41" s="147">
        <f t="shared" si="2"/>
        <v>125112500</v>
      </c>
      <c r="M41" s="141">
        <v>125112500</v>
      </c>
      <c r="N41" s="141">
        <v>125112500</v>
      </c>
      <c r="O41" s="141">
        <v>125112500</v>
      </c>
      <c r="P41" s="140"/>
    </row>
    <row r="42" spans="1:16" ht="29.25" customHeight="1">
      <c r="A42" s="158">
        <v>8</v>
      </c>
      <c r="B42" s="200" t="s">
        <v>40</v>
      </c>
      <c r="C42" s="338" t="s">
        <v>1756</v>
      </c>
      <c r="D42" s="338" t="s">
        <v>1216</v>
      </c>
      <c r="E42" s="171"/>
      <c r="F42" s="339">
        <v>2020</v>
      </c>
      <c r="G42" s="200">
        <v>2021</v>
      </c>
      <c r="H42" s="482">
        <v>10000000</v>
      </c>
      <c r="I42" s="482">
        <v>1532918.3333333335</v>
      </c>
      <c r="J42" s="483">
        <v>8450000</v>
      </c>
      <c r="K42" s="141"/>
      <c r="L42" s="147">
        <f t="shared" si="2"/>
        <v>2112500</v>
      </c>
      <c r="M42" s="141">
        <v>2112500</v>
      </c>
      <c r="N42" s="141">
        <v>2112500</v>
      </c>
      <c r="O42" s="141">
        <v>2112500</v>
      </c>
      <c r="P42" s="140"/>
    </row>
    <row r="43" spans="1:16" ht="29.25" customHeight="1">
      <c r="A43" s="158">
        <v>9</v>
      </c>
      <c r="B43" s="200" t="s">
        <v>40</v>
      </c>
      <c r="C43" s="338" t="s">
        <v>1757</v>
      </c>
      <c r="D43" s="338" t="s">
        <v>1216</v>
      </c>
      <c r="E43" s="171"/>
      <c r="F43" s="339">
        <v>2020</v>
      </c>
      <c r="G43" s="200">
        <v>2022</v>
      </c>
      <c r="H43" s="482">
        <v>2130000000</v>
      </c>
      <c r="I43" s="482"/>
      <c r="J43" s="482"/>
      <c r="K43" s="141"/>
      <c r="L43" s="147">
        <f t="shared" si="2"/>
        <v>0</v>
      </c>
      <c r="M43" s="141"/>
      <c r="N43" s="141"/>
      <c r="O43" s="141"/>
      <c r="P43" s="140"/>
    </row>
    <row r="44" spans="1:16" ht="36" customHeight="1">
      <c r="A44" s="200">
        <v>10</v>
      </c>
      <c r="B44" s="200" t="s">
        <v>40</v>
      </c>
      <c r="C44" s="338" t="s">
        <v>1758</v>
      </c>
      <c r="D44" s="338" t="s">
        <v>1216</v>
      </c>
      <c r="E44" s="170"/>
      <c r="F44" s="339">
        <v>2021</v>
      </c>
      <c r="G44" s="200">
        <v>2023</v>
      </c>
      <c r="H44" s="482">
        <v>6750000</v>
      </c>
      <c r="I44" s="482"/>
      <c r="J44" s="482">
        <v>3000000</v>
      </c>
      <c r="K44" s="147"/>
      <c r="L44" s="147">
        <f t="shared" si="2"/>
        <v>750000</v>
      </c>
      <c r="M44" s="147">
        <v>750000</v>
      </c>
      <c r="N44" s="147">
        <v>750000</v>
      </c>
      <c r="O44" s="147">
        <v>750000</v>
      </c>
      <c r="P44" s="366"/>
    </row>
    <row r="45" spans="1:16" ht="29.25" customHeight="1">
      <c r="A45" s="158">
        <v>11</v>
      </c>
      <c r="B45" s="200" t="s">
        <v>40</v>
      </c>
      <c r="C45" s="338" t="s">
        <v>1759</v>
      </c>
      <c r="D45" s="338" t="s">
        <v>1216</v>
      </c>
      <c r="E45" s="171"/>
      <c r="F45" s="339">
        <v>2021</v>
      </c>
      <c r="G45" s="200">
        <v>2021</v>
      </c>
      <c r="H45" s="482">
        <v>750000</v>
      </c>
      <c r="I45" s="482"/>
      <c r="J45" s="482">
        <v>750000</v>
      </c>
      <c r="K45" s="141"/>
      <c r="L45" s="147">
        <f t="shared" si="2"/>
        <v>187500</v>
      </c>
      <c r="M45" s="141">
        <v>187500</v>
      </c>
      <c r="N45" s="141">
        <v>187500</v>
      </c>
      <c r="O45" s="141">
        <v>187500</v>
      </c>
      <c r="P45" s="140"/>
    </row>
    <row r="46" spans="1:16" ht="29.25" customHeight="1">
      <c r="A46" s="351">
        <v>12</v>
      </c>
      <c r="B46" s="200" t="s">
        <v>40</v>
      </c>
      <c r="C46" s="338" t="s">
        <v>1760</v>
      </c>
      <c r="D46" s="338" t="s">
        <v>1216</v>
      </c>
      <c r="E46" s="340"/>
      <c r="F46" s="339">
        <v>2021</v>
      </c>
      <c r="G46" s="320">
        <v>2023</v>
      </c>
      <c r="H46" s="482">
        <v>46635000</v>
      </c>
      <c r="I46" s="482"/>
      <c r="J46" s="482">
        <v>12000000</v>
      </c>
      <c r="K46" s="310"/>
      <c r="L46" s="147">
        <f t="shared" si="2"/>
        <v>3000000</v>
      </c>
      <c r="M46" s="310">
        <v>3000000</v>
      </c>
      <c r="N46" s="310">
        <v>3000000</v>
      </c>
      <c r="O46" s="310">
        <v>3000000</v>
      </c>
      <c r="P46" s="373"/>
    </row>
    <row r="47" spans="1:16" ht="30.75" customHeight="1" thickBot="1">
      <c r="A47" s="742" t="s">
        <v>20</v>
      </c>
      <c r="B47" s="742"/>
      <c r="C47" s="742"/>
      <c r="D47" s="742"/>
      <c r="E47" s="742"/>
      <c r="F47" s="742"/>
      <c r="G47" s="742"/>
      <c r="H47" s="433">
        <f t="shared" ref="H47:O47" si="3">SUM(H35:H46)</f>
        <v>3257301000</v>
      </c>
      <c r="I47" s="433">
        <f t="shared" si="3"/>
        <v>59234941.56000001</v>
      </c>
      <c r="J47" s="433">
        <f t="shared" si="3"/>
        <v>735626000</v>
      </c>
      <c r="K47" s="433">
        <f t="shared" si="3"/>
        <v>0</v>
      </c>
      <c r="L47" s="433">
        <f t="shared" si="3"/>
        <v>183906500</v>
      </c>
      <c r="M47" s="433">
        <f t="shared" si="3"/>
        <v>183906500</v>
      </c>
      <c r="N47" s="433">
        <f t="shared" si="3"/>
        <v>183906500</v>
      </c>
      <c r="O47" s="433">
        <f t="shared" si="3"/>
        <v>183906500</v>
      </c>
      <c r="P47" s="138"/>
    </row>
    <row r="48" spans="1:16" ht="13.5" customHeight="1" thickBot="1">
      <c r="A48" s="671"/>
      <c r="B48" s="672"/>
      <c r="C48" s="672"/>
      <c r="D48" s="672"/>
      <c r="E48" s="672"/>
      <c r="F48" s="672"/>
      <c r="G48" s="672"/>
      <c r="H48" s="672"/>
      <c r="I48" s="672"/>
      <c r="J48" s="672"/>
      <c r="K48" s="672"/>
      <c r="L48" s="672"/>
      <c r="M48" s="672"/>
      <c r="N48" s="672"/>
      <c r="O48" s="672"/>
      <c r="P48" s="673"/>
    </row>
    <row r="49" spans="1:16" ht="26.25" customHeight="1" thickBot="1">
      <c r="A49" s="652" t="s">
        <v>1873</v>
      </c>
      <c r="B49" s="653"/>
      <c r="C49" s="653"/>
      <c r="D49" s="653"/>
      <c r="E49" s="653"/>
      <c r="F49" s="653"/>
      <c r="G49" s="653"/>
      <c r="H49" s="653"/>
      <c r="I49" s="653"/>
      <c r="J49" s="653"/>
      <c r="K49" s="653"/>
      <c r="L49" s="653"/>
      <c r="M49" s="653"/>
      <c r="N49" s="653"/>
      <c r="O49" s="653"/>
      <c r="P49" s="654"/>
    </row>
    <row r="50" spans="1:16" ht="52.5" customHeight="1">
      <c r="A50" s="158">
        <v>1</v>
      </c>
      <c r="B50" s="200" t="s">
        <v>45</v>
      </c>
      <c r="C50" s="161" t="s">
        <v>648</v>
      </c>
      <c r="D50" s="170" t="s">
        <v>649</v>
      </c>
      <c r="E50" s="171" t="s">
        <v>650</v>
      </c>
      <c r="F50" s="156">
        <v>43885</v>
      </c>
      <c r="G50" s="156">
        <v>44304</v>
      </c>
      <c r="H50" s="141">
        <v>29611398.10540764</v>
      </c>
      <c r="I50" s="141">
        <v>22596675.550191801</v>
      </c>
      <c r="J50" s="141">
        <v>7014722.5552158393</v>
      </c>
      <c r="K50" s="141"/>
      <c r="L50" s="141">
        <v>2091284.2074612007</v>
      </c>
      <c r="M50" s="141">
        <v>0</v>
      </c>
      <c r="N50" s="141">
        <v>0</v>
      </c>
      <c r="O50" s="141">
        <v>0</v>
      </c>
      <c r="P50" s="171"/>
    </row>
    <row r="51" spans="1:16" ht="57" customHeight="1">
      <c r="A51" s="200">
        <v>2</v>
      </c>
      <c r="B51" s="200" t="s">
        <v>45</v>
      </c>
      <c r="C51" s="161" t="s">
        <v>651</v>
      </c>
      <c r="D51" s="170" t="s">
        <v>649</v>
      </c>
      <c r="E51" s="171" t="s">
        <v>652</v>
      </c>
      <c r="F51" s="156">
        <v>43879</v>
      </c>
      <c r="G51" s="156">
        <v>44298</v>
      </c>
      <c r="H51" s="141">
        <v>5661876</v>
      </c>
      <c r="I51" s="141">
        <v>4775476.5199999996</v>
      </c>
      <c r="J51" s="141">
        <v>886399.48000000045</v>
      </c>
      <c r="K51" s="141"/>
      <c r="L51" s="141">
        <v>627099.20000000019</v>
      </c>
      <c r="M51" s="141">
        <v>259300.28000000026</v>
      </c>
      <c r="N51" s="141">
        <v>0</v>
      </c>
      <c r="O51" s="141">
        <v>0</v>
      </c>
      <c r="P51" s="171"/>
    </row>
    <row r="52" spans="1:16" ht="62.25" customHeight="1">
      <c r="A52" s="158">
        <v>3</v>
      </c>
      <c r="B52" s="200" t="s">
        <v>45</v>
      </c>
      <c r="C52" s="161" t="s">
        <v>653</v>
      </c>
      <c r="D52" s="170" t="s">
        <v>649</v>
      </c>
      <c r="E52" s="171" t="s">
        <v>652</v>
      </c>
      <c r="F52" s="156">
        <v>43903</v>
      </c>
      <c r="G52" s="156">
        <v>44322</v>
      </c>
      <c r="H52" s="141">
        <v>1749055.0000000002</v>
      </c>
      <c r="I52" s="141">
        <v>1398947.8199999998</v>
      </c>
      <c r="J52" s="141">
        <v>350107.1800000004</v>
      </c>
      <c r="K52" s="141"/>
      <c r="L52" s="141">
        <v>165680.26</v>
      </c>
      <c r="M52" s="141">
        <v>184426.92000000039</v>
      </c>
      <c r="N52" s="141">
        <v>0</v>
      </c>
      <c r="O52" s="141">
        <v>0</v>
      </c>
      <c r="P52" s="171"/>
    </row>
    <row r="53" spans="1:16" ht="52.5" customHeight="1">
      <c r="A53" s="158">
        <v>4</v>
      </c>
      <c r="B53" s="200" t="s">
        <v>45</v>
      </c>
      <c r="C53" s="161" t="s">
        <v>654</v>
      </c>
      <c r="D53" s="170" t="s">
        <v>649</v>
      </c>
      <c r="E53" s="171" t="s">
        <v>650</v>
      </c>
      <c r="F53" s="156">
        <v>44050</v>
      </c>
      <c r="G53" s="156">
        <v>44319</v>
      </c>
      <c r="H53" s="141">
        <v>20224832.494476851</v>
      </c>
      <c r="I53" s="141">
        <v>14716143.066203967</v>
      </c>
      <c r="J53" s="141">
        <v>5508689.4282728843</v>
      </c>
      <c r="K53" s="141"/>
      <c r="L53" s="141">
        <v>3987127.2332240343</v>
      </c>
      <c r="M53" s="141">
        <v>1521562.19504885</v>
      </c>
      <c r="N53" s="141">
        <v>0</v>
      </c>
      <c r="O53" s="141">
        <v>0</v>
      </c>
      <c r="P53" s="171"/>
    </row>
    <row r="54" spans="1:16" ht="54" customHeight="1">
      <c r="A54" s="158">
        <v>5</v>
      </c>
      <c r="B54" s="200" t="s">
        <v>45</v>
      </c>
      <c r="C54" s="161" t="s">
        <v>655</v>
      </c>
      <c r="D54" s="170" t="s">
        <v>649</v>
      </c>
      <c r="E54" s="171" t="s">
        <v>650</v>
      </c>
      <c r="F54" s="156">
        <v>44050</v>
      </c>
      <c r="G54" s="156">
        <v>44319</v>
      </c>
      <c r="H54" s="141">
        <v>22404709.734439801</v>
      </c>
      <c r="I54" s="141">
        <v>17437227.493297961</v>
      </c>
      <c r="J54" s="141">
        <v>4967482.2411418408</v>
      </c>
      <c r="K54" s="141"/>
      <c r="L54" s="141">
        <v>3385433.487415038</v>
      </c>
      <c r="M54" s="141">
        <v>1582048.7537268028</v>
      </c>
      <c r="N54" s="141">
        <v>0</v>
      </c>
      <c r="O54" s="141">
        <v>0</v>
      </c>
      <c r="P54" s="171"/>
    </row>
    <row r="55" spans="1:16" ht="57.75" customHeight="1">
      <c r="A55" s="158">
        <v>6</v>
      </c>
      <c r="B55" s="200" t="s">
        <v>45</v>
      </c>
      <c r="C55" s="161" t="s">
        <v>656</v>
      </c>
      <c r="D55" s="170" t="s">
        <v>649</v>
      </c>
      <c r="E55" s="171" t="s">
        <v>652</v>
      </c>
      <c r="F55" s="156">
        <v>44259</v>
      </c>
      <c r="G55" s="156">
        <v>44558</v>
      </c>
      <c r="H55" s="141">
        <v>29589508.250379112</v>
      </c>
      <c r="I55" s="141">
        <v>0</v>
      </c>
      <c r="J55" s="141">
        <v>29589508.250379112</v>
      </c>
      <c r="K55" s="141"/>
      <c r="L55" s="141">
        <v>539063.32409000001</v>
      </c>
      <c r="M55" s="141">
        <v>10356327.887632689</v>
      </c>
      <c r="N55" s="141">
        <v>10356327.887632689</v>
      </c>
      <c r="O55" s="141">
        <v>8337789.1510237325</v>
      </c>
      <c r="P55" s="171"/>
    </row>
    <row r="56" spans="1:16" ht="27.75" customHeight="1">
      <c r="A56" s="742" t="s">
        <v>20</v>
      </c>
      <c r="B56" s="742"/>
      <c r="C56" s="742"/>
      <c r="D56" s="742"/>
      <c r="E56" s="742"/>
      <c r="F56" s="742"/>
      <c r="G56" s="742"/>
      <c r="H56" s="433">
        <f t="shared" ref="H56:O56" si="4">SUM(H50:H55)</f>
        <v>109241379.58470342</v>
      </c>
      <c r="I56" s="433">
        <f t="shared" si="4"/>
        <v>60924470.449693725</v>
      </c>
      <c r="J56" s="433">
        <f t="shared" si="4"/>
        <v>48316909.135009676</v>
      </c>
      <c r="K56" s="433">
        <f t="shared" si="4"/>
        <v>0</v>
      </c>
      <c r="L56" s="433">
        <f t="shared" si="4"/>
        <v>10795687.712190274</v>
      </c>
      <c r="M56" s="433">
        <f t="shared" si="4"/>
        <v>13903666.036408342</v>
      </c>
      <c r="N56" s="433">
        <f t="shared" si="4"/>
        <v>10356327.887632689</v>
      </c>
      <c r="O56" s="433">
        <f t="shared" si="4"/>
        <v>8337789.1510237325</v>
      </c>
      <c r="P56" s="138"/>
    </row>
    <row r="57" spans="1:16" ht="13.5" customHeight="1"/>
    <row r="58" spans="1:16" ht="24" customHeight="1">
      <c r="A58" s="680" t="s">
        <v>1535</v>
      </c>
      <c r="B58" s="680"/>
      <c r="C58" s="680"/>
      <c r="D58" s="680"/>
      <c r="E58" s="680"/>
      <c r="F58" s="680"/>
      <c r="G58" s="680"/>
      <c r="H58" s="680"/>
      <c r="I58" s="680"/>
      <c r="J58" s="680"/>
      <c r="K58" s="680"/>
      <c r="L58" s="680"/>
      <c r="M58" s="680"/>
      <c r="N58" s="680"/>
      <c r="O58" s="680"/>
      <c r="P58" s="680"/>
    </row>
    <row r="59" spans="1:16" ht="42" customHeight="1">
      <c r="A59" s="158">
        <v>1</v>
      </c>
      <c r="B59" s="158" t="s">
        <v>25</v>
      </c>
      <c r="C59" s="160" t="s">
        <v>1531</v>
      </c>
      <c r="D59" s="165" t="s">
        <v>814</v>
      </c>
      <c r="E59" s="165"/>
      <c r="F59" s="255">
        <v>44004</v>
      </c>
      <c r="G59" s="255">
        <v>44603</v>
      </c>
      <c r="H59" s="176">
        <v>57112000</v>
      </c>
      <c r="I59" s="176">
        <v>4985137.8344000001</v>
      </c>
      <c r="J59" s="176">
        <v>32093356.59</v>
      </c>
      <c r="K59" s="176"/>
      <c r="L59" s="176">
        <v>7398127.9299999997</v>
      </c>
      <c r="M59" s="176"/>
      <c r="N59" s="176"/>
      <c r="O59" s="176"/>
      <c r="P59" s="25"/>
    </row>
    <row r="60" spans="1:16" ht="42" customHeight="1">
      <c r="A60" s="158">
        <v>2</v>
      </c>
      <c r="B60" s="158" t="s">
        <v>25</v>
      </c>
      <c r="C60" s="161" t="s">
        <v>1532</v>
      </c>
      <c r="D60" s="165" t="s">
        <v>814</v>
      </c>
      <c r="E60" s="171"/>
      <c r="F60" s="256">
        <v>42920</v>
      </c>
      <c r="G60" s="256">
        <v>43640</v>
      </c>
      <c r="H60" s="176">
        <v>77849882.879999995</v>
      </c>
      <c r="I60" s="176">
        <v>71142604.269999996</v>
      </c>
      <c r="J60" s="176">
        <v>5285196.3</v>
      </c>
      <c r="K60" s="176"/>
      <c r="L60" s="176">
        <v>2163413.79</v>
      </c>
      <c r="M60" s="176"/>
      <c r="N60" s="176"/>
      <c r="O60" s="176"/>
      <c r="P60" s="25"/>
    </row>
    <row r="61" spans="1:16" ht="42" customHeight="1">
      <c r="A61" s="158">
        <v>3</v>
      </c>
      <c r="B61" s="158" t="s">
        <v>25</v>
      </c>
      <c r="C61" s="161" t="s">
        <v>1533</v>
      </c>
      <c r="D61" s="165" t="s">
        <v>814</v>
      </c>
      <c r="E61" s="171"/>
      <c r="F61" s="156">
        <v>44047</v>
      </c>
      <c r="G61" s="156">
        <f>F61+60-1</f>
        <v>44106</v>
      </c>
      <c r="H61" s="176">
        <v>3390204.77</v>
      </c>
      <c r="I61" s="176">
        <v>1883673.34</v>
      </c>
      <c r="J61" s="176">
        <v>1506531.43</v>
      </c>
      <c r="K61" s="176"/>
      <c r="L61" s="176"/>
      <c r="M61" s="176"/>
      <c r="N61" s="176"/>
      <c r="O61" s="176"/>
      <c r="P61" s="25"/>
    </row>
    <row r="62" spans="1:16" ht="42" customHeight="1">
      <c r="A62" s="158">
        <v>4</v>
      </c>
      <c r="B62" s="158" t="s">
        <v>25</v>
      </c>
      <c r="C62" s="161" t="s">
        <v>1534</v>
      </c>
      <c r="D62" s="165" t="s">
        <v>814</v>
      </c>
      <c r="E62" s="171"/>
      <c r="F62" s="156">
        <v>44214</v>
      </c>
      <c r="G62" s="156">
        <f>F62+700-1</f>
        <v>44913</v>
      </c>
      <c r="H62" s="176">
        <v>5321587.01</v>
      </c>
      <c r="I62" s="176"/>
      <c r="J62" s="176">
        <v>1330396.75</v>
      </c>
      <c r="K62" s="176"/>
      <c r="L62" s="176">
        <v>721878.96</v>
      </c>
      <c r="M62" s="176"/>
      <c r="N62" s="176"/>
      <c r="O62" s="176"/>
      <c r="P62" s="25"/>
    </row>
    <row r="63" spans="1:16" ht="25.5" customHeight="1">
      <c r="A63" s="760" t="s">
        <v>20</v>
      </c>
      <c r="B63" s="761"/>
      <c r="C63" s="761"/>
      <c r="D63" s="761"/>
      <c r="E63" s="761"/>
      <c r="F63" s="761"/>
      <c r="G63" s="762"/>
      <c r="H63" s="433">
        <f>SUM(H59:H62)</f>
        <v>143673674.66</v>
      </c>
      <c r="I63" s="434">
        <f t="shared" ref="I63:O63" si="5">SUM(I59:I62)</f>
        <v>78011415.444399998</v>
      </c>
      <c r="J63" s="433">
        <f t="shared" si="5"/>
        <v>40215481.07</v>
      </c>
      <c r="K63" s="433">
        <f t="shared" si="5"/>
        <v>0</v>
      </c>
      <c r="L63" s="433">
        <f t="shared" si="5"/>
        <v>10283420.68</v>
      </c>
      <c r="M63" s="433">
        <f t="shared" si="5"/>
        <v>0</v>
      </c>
      <c r="N63" s="433">
        <f t="shared" si="5"/>
        <v>0</v>
      </c>
      <c r="O63" s="433">
        <f t="shared" si="5"/>
        <v>0</v>
      </c>
      <c r="P63" s="138"/>
    </row>
    <row r="64" spans="1:16" ht="13.5" customHeight="1">
      <c r="A64" s="463"/>
      <c r="B64" s="464"/>
      <c r="C64" s="464"/>
      <c r="D64" s="464"/>
      <c r="E64" s="464"/>
      <c r="F64" s="464"/>
      <c r="G64" s="464"/>
      <c r="H64" s="464"/>
      <c r="I64" s="464"/>
      <c r="J64" s="464"/>
      <c r="K64" s="464"/>
      <c r="L64" s="464"/>
      <c r="M64" s="464"/>
      <c r="N64" s="464"/>
      <c r="O64" s="464"/>
      <c r="P64" s="465"/>
    </row>
    <row r="65" spans="1:16" s="1" customFormat="1" ht="36" customHeight="1">
      <c r="A65" s="746" t="s">
        <v>352</v>
      </c>
      <c r="B65" s="747"/>
      <c r="C65" s="747"/>
      <c r="D65" s="747"/>
      <c r="E65" s="747"/>
      <c r="F65" s="747"/>
      <c r="G65" s="747"/>
      <c r="H65" s="747"/>
      <c r="I65" s="747"/>
      <c r="J65" s="747"/>
      <c r="K65" s="747"/>
      <c r="L65" s="747"/>
      <c r="M65" s="747"/>
      <c r="N65" s="747"/>
      <c r="O65" s="747"/>
      <c r="P65" s="748"/>
    </row>
    <row r="66" spans="1:16" s="1" customFormat="1" ht="47.25">
      <c r="A66" s="295">
        <v>1</v>
      </c>
      <c r="B66" s="224" t="s">
        <v>25</v>
      </c>
      <c r="C66" s="298" t="s">
        <v>353</v>
      </c>
      <c r="D66" s="298" t="s">
        <v>354</v>
      </c>
      <c r="E66" s="298" t="s">
        <v>355</v>
      </c>
      <c r="F66" s="162">
        <v>43705</v>
      </c>
      <c r="G66" s="163">
        <v>44324</v>
      </c>
      <c r="H66" s="168">
        <v>15875589</v>
      </c>
      <c r="I66" s="168">
        <v>9071006.4000000004</v>
      </c>
      <c r="J66" s="168">
        <v>12983993.6</v>
      </c>
      <c r="K66" s="168"/>
      <c r="L66" s="168">
        <v>9737995</v>
      </c>
      <c r="M66" s="168">
        <v>3245998</v>
      </c>
      <c r="N66" s="168">
        <v>0</v>
      </c>
      <c r="O66" s="168">
        <v>0</v>
      </c>
      <c r="P66" s="160"/>
    </row>
    <row r="67" spans="1:16" s="1" customFormat="1" ht="31.5">
      <c r="A67" s="158">
        <v>2</v>
      </c>
      <c r="B67" s="224" t="s">
        <v>25</v>
      </c>
      <c r="C67" s="298" t="s">
        <v>356</v>
      </c>
      <c r="D67" s="298" t="s">
        <v>357</v>
      </c>
      <c r="E67" s="298" t="s">
        <v>358</v>
      </c>
      <c r="F67" s="155">
        <v>43917</v>
      </c>
      <c r="G67" s="156">
        <v>44305</v>
      </c>
      <c r="H67" s="168">
        <v>5150914.05</v>
      </c>
      <c r="I67" s="168">
        <v>2322698.96</v>
      </c>
      <c r="J67" s="168">
        <v>10677301.039999999</v>
      </c>
      <c r="K67" s="168"/>
      <c r="L67" s="168">
        <v>8007976</v>
      </c>
      <c r="M67" s="168">
        <v>2669325</v>
      </c>
      <c r="N67" s="168">
        <v>0</v>
      </c>
      <c r="O67" s="168">
        <v>0</v>
      </c>
      <c r="P67" s="161"/>
    </row>
    <row r="68" spans="1:16" s="1" customFormat="1" ht="47.25">
      <c r="A68" s="158">
        <v>3</v>
      </c>
      <c r="B68" s="224" t="s">
        <v>25</v>
      </c>
      <c r="C68" s="298" t="s">
        <v>359</v>
      </c>
      <c r="D68" s="298" t="s">
        <v>357</v>
      </c>
      <c r="E68" s="298" t="s">
        <v>360</v>
      </c>
      <c r="F68" s="155">
        <v>44021</v>
      </c>
      <c r="G68" s="156">
        <v>44310</v>
      </c>
      <c r="H68" s="168">
        <v>6460153.4000000004</v>
      </c>
      <c r="I68" s="168">
        <v>5034216.13</v>
      </c>
      <c r="J68" s="168">
        <v>3965783.87</v>
      </c>
      <c r="K68" s="168"/>
      <c r="L68" s="168">
        <v>2974337.9</v>
      </c>
      <c r="M68" s="168">
        <v>991445.97</v>
      </c>
      <c r="N68" s="168">
        <v>0</v>
      </c>
      <c r="O68" s="168">
        <v>0</v>
      </c>
      <c r="P68" s="161"/>
    </row>
    <row r="69" spans="1:16" s="1" customFormat="1" ht="47.25">
      <c r="A69" s="158">
        <v>4</v>
      </c>
      <c r="B69" s="224" t="s">
        <v>25</v>
      </c>
      <c r="C69" s="298" t="s">
        <v>361</v>
      </c>
      <c r="D69" s="298" t="s">
        <v>357</v>
      </c>
      <c r="E69" s="298" t="s">
        <v>360</v>
      </c>
      <c r="F69" s="155">
        <v>44221</v>
      </c>
      <c r="G69" s="156">
        <v>44420</v>
      </c>
      <c r="H69" s="168">
        <v>6886815</v>
      </c>
      <c r="I69" s="168" t="s">
        <v>108</v>
      </c>
      <c r="J69" s="168">
        <v>9900000</v>
      </c>
      <c r="K69" s="168"/>
      <c r="L69" s="168">
        <v>2828571</v>
      </c>
      <c r="M69" s="168">
        <v>4242857</v>
      </c>
      <c r="N69" s="168">
        <v>2828571</v>
      </c>
      <c r="O69" s="168">
        <v>0</v>
      </c>
      <c r="P69" s="161"/>
    </row>
    <row r="70" spans="1:16" s="4" customFormat="1" ht="48.75" customHeight="1">
      <c r="A70" s="760" t="s">
        <v>20</v>
      </c>
      <c r="B70" s="761"/>
      <c r="C70" s="761"/>
      <c r="D70" s="761"/>
      <c r="E70" s="761"/>
      <c r="F70" s="761"/>
      <c r="G70" s="762"/>
      <c r="H70" s="433">
        <f>SUM(H66:H69)</f>
        <v>34373471.450000003</v>
      </c>
      <c r="I70" s="434">
        <f t="shared" ref="I70:O70" si="6">SUM(I66:I69)</f>
        <v>16427921.489999998</v>
      </c>
      <c r="J70" s="433">
        <f t="shared" si="6"/>
        <v>37527078.510000005</v>
      </c>
      <c r="K70" s="433">
        <f t="shared" si="6"/>
        <v>0</v>
      </c>
      <c r="L70" s="433">
        <f t="shared" si="6"/>
        <v>23548879.899999999</v>
      </c>
      <c r="M70" s="433">
        <f t="shared" si="6"/>
        <v>11149625.969999999</v>
      </c>
      <c r="N70" s="433">
        <f t="shared" si="6"/>
        <v>2828571</v>
      </c>
      <c r="O70" s="433">
        <f t="shared" si="6"/>
        <v>0</v>
      </c>
      <c r="P70" s="433"/>
    </row>
    <row r="71" spans="1:16" s="1" customFormat="1" ht="13.5" customHeight="1">
      <c r="A71" s="765"/>
      <c r="B71" s="749"/>
      <c r="C71" s="749"/>
      <c r="D71" s="749"/>
      <c r="E71" s="749"/>
      <c r="F71" s="749"/>
      <c r="G71" s="749"/>
      <c r="H71" s="749"/>
      <c r="I71" s="749"/>
      <c r="J71" s="749"/>
      <c r="K71" s="749"/>
      <c r="L71" s="749"/>
      <c r="M71" s="749"/>
      <c r="N71" s="749"/>
      <c r="O71" s="749"/>
      <c r="P71" s="766"/>
    </row>
    <row r="72" spans="1:16" s="1" customFormat="1" ht="52.5" customHeight="1">
      <c r="A72" s="746" t="s">
        <v>776</v>
      </c>
      <c r="B72" s="747"/>
      <c r="C72" s="747"/>
      <c r="D72" s="747"/>
      <c r="E72" s="747"/>
      <c r="F72" s="747"/>
      <c r="G72" s="747"/>
      <c r="H72" s="747"/>
      <c r="I72" s="747"/>
      <c r="J72" s="747"/>
      <c r="K72" s="747"/>
      <c r="L72" s="747"/>
      <c r="M72" s="747"/>
      <c r="N72" s="747"/>
      <c r="O72" s="747"/>
      <c r="P72" s="748"/>
    </row>
    <row r="73" spans="1:16" s="1" customFormat="1" ht="37.5" customHeight="1">
      <c r="A73" s="106">
        <v>1</v>
      </c>
      <c r="B73" s="224" t="s">
        <v>25</v>
      </c>
      <c r="C73" s="140" t="s">
        <v>777</v>
      </c>
      <c r="D73" s="224" t="s">
        <v>47</v>
      </c>
      <c r="E73" s="171" t="s">
        <v>788</v>
      </c>
      <c r="F73" s="225">
        <v>43549</v>
      </c>
      <c r="G73" s="225">
        <v>44439</v>
      </c>
      <c r="H73" s="168">
        <v>525247.5</v>
      </c>
      <c r="I73" s="168">
        <v>279440.61</v>
      </c>
      <c r="J73" s="168">
        <v>245806.89</v>
      </c>
      <c r="K73" s="168"/>
      <c r="L73" s="168">
        <v>184355</v>
      </c>
      <c r="M73" s="168">
        <v>20483</v>
      </c>
      <c r="N73" s="168">
        <v>20483</v>
      </c>
      <c r="O73" s="168">
        <v>20483</v>
      </c>
      <c r="P73" s="224"/>
    </row>
    <row r="74" spans="1:16" s="1" customFormat="1" ht="36.75" customHeight="1">
      <c r="A74" s="106">
        <v>2</v>
      </c>
      <c r="B74" s="224" t="s">
        <v>25</v>
      </c>
      <c r="C74" s="139" t="s">
        <v>778</v>
      </c>
      <c r="D74" s="224" t="s">
        <v>47</v>
      </c>
      <c r="E74" s="171" t="s">
        <v>788</v>
      </c>
      <c r="F74" s="225">
        <v>43878</v>
      </c>
      <c r="G74" s="155" t="s">
        <v>790</v>
      </c>
      <c r="H74" s="168">
        <v>780570</v>
      </c>
      <c r="I74" s="168">
        <v>0</v>
      </c>
      <c r="J74" s="168">
        <v>780570</v>
      </c>
      <c r="K74" s="168"/>
      <c r="L74" s="168">
        <v>226365</v>
      </c>
      <c r="M74" s="168">
        <v>184734</v>
      </c>
      <c r="N74" s="168">
        <v>184734</v>
      </c>
      <c r="O74" s="168">
        <v>184734</v>
      </c>
      <c r="P74" s="224"/>
    </row>
    <row r="75" spans="1:16" s="107" customFormat="1" ht="37.5" customHeight="1">
      <c r="A75" s="106">
        <v>3</v>
      </c>
      <c r="B75" s="224" t="s">
        <v>25</v>
      </c>
      <c r="C75" s="161" t="s">
        <v>779</v>
      </c>
      <c r="D75" s="224" t="s">
        <v>47</v>
      </c>
      <c r="E75" s="171" t="s">
        <v>117</v>
      </c>
      <c r="F75" s="226">
        <v>43934</v>
      </c>
      <c r="G75" s="227">
        <v>44360</v>
      </c>
      <c r="H75" s="168">
        <v>4672800</v>
      </c>
      <c r="I75" s="168">
        <v>3721902.79</v>
      </c>
      <c r="J75" s="168">
        <v>950897.21</v>
      </c>
      <c r="K75" s="168"/>
      <c r="L75" s="168">
        <v>912861</v>
      </c>
      <c r="M75" s="168">
        <v>12678</v>
      </c>
      <c r="N75" s="168">
        <v>12678</v>
      </c>
      <c r="O75" s="168">
        <v>12678</v>
      </c>
      <c r="P75" s="228"/>
    </row>
    <row r="76" spans="1:16" s="107" customFormat="1" ht="69" customHeight="1">
      <c r="A76" s="106">
        <v>4</v>
      </c>
      <c r="B76" s="224" t="s">
        <v>25</v>
      </c>
      <c r="C76" s="140" t="s">
        <v>780</v>
      </c>
      <c r="D76" s="224" t="s">
        <v>47</v>
      </c>
      <c r="E76" s="171" t="s">
        <v>789</v>
      </c>
      <c r="F76" s="225">
        <v>44091</v>
      </c>
      <c r="G76" s="225">
        <v>44456</v>
      </c>
      <c r="H76" s="168">
        <v>6370547.5</v>
      </c>
      <c r="I76" s="168">
        <v>0</v>
      </c>
      <c r="J76" s="168">
        <v>6370547.5</v>
      </c>
      <c r="K76" s="168"/>
      <c r="L76" s="168">
        <v>700760</v>
      </c>
      <c r="M76" s="168">
        <v>1889929</v>
      </c>
      <c r="N76" s="168">
        <v>1889929</v>
      </c>
      <c r="O76" s="168">
        <v>1889929</v>
      </c>
      <c r="P76" s="224"/>
    </row>
    <row r="77" spans="1:16" s="1" customFormat="1" ht="26.25" customHeight="1">
      <c r="A77" s="106">
        <v>5</v>
      </c>
      <c r="B77" s="224" t="s">
        <v>25</v>
      </c>
      <c r="C77" s="140" t="s">
        <v>781</v>
      </c>
      <c r="D77" s="224" t="s">
        <v>47</v>
      </c>
      <c r="E77" s="171" t="s">
        <v>788</v>
      </c>
      <c r="F77" s="225">
        <v>44151</v>
      </c>
      <c r="G77" s="225">
        <v>44286</v>
      </c>
      <c r="H77" s="168">
        <v>379311</v>
      </c>
      <c r="I77" s="168">
        <v>0</v>
      </c>
      <c r="J77" s="168">
        <v>379311</v>
      </c>
      <c r="K77" s="168"/>
      <c r="L77" s="168">
        <v>0</v>
      </c>
      <c r="M77" s="168">
        <v>126437</v>
      </c>
      <c r="N77" s="168">
        <v>126437</v>
      </c>
      <c r="O77" s="168">
        <v>126437</v>
      </c>
      <c r="P77" s="228"/>
    </row>
    <row r="78" spans="1:16" s="1" customFormat="1" ht="28.5" customHeight="1">
      <c r="A78" s="106">
        <v>6</v>
      </c>
      <c r="B78" s="224" t="s">
        <v>25</v>
      </c>
      <c r="C78" s="140" t="s">
        <v>782</v>
      </c>
      <c r="D78" s="224" t="s">
        <v>47</v>
      </c>
      <c r="E78" s="171" t="s">
        <v>788</v>
      </c>
      <c r="F78" s="225">
        <v>44123</v>
      </c>
      <c r="G78" s="225">
        <v>44488</v>
      </c>
      <c r="H78" s="168">
        <v>2749400</v>
      </c>
      <c r="I78" s="168">
        <v>150000</v>
      </c>
      <c r="J78" s="168">
        <v>2599400</v>
      </c>
      <c r="K78" s="168"/>
      <c r="L78" s="168">
        <v>441898</v>
      </c>
      <c r="M78" s="168">
        <v>719167</v>
      </c>
      <c r="N78" s="168">
        <v>719167</v>
      </c>
      <c r="O78" s="168">
        <v>719167</v>
      </c>
      <c r="P78" s="224"/>
    </row>
    <row r="79" spans="1:16" s="1" customFormat="1" ht="28.5" customHeight="1">
      <c r="A79" s="106">
        <v>7</v>
      </c>
      <c r="B79" s="224" t="s">
        <v>25</v>
      </c>
      <c r="C79" s="140" t="s">
        <v>783</v>
      </c>
      <c r="D79" s="224" t="s">
        <v>47</v>
      </c>
      <c r="E79" s="171" t="s">
        <v>788</v>
      </c>
      <c r="F79" s="225">
        <v>44151</v>
      </c>
      <c r="G79" s="225">
        <v>44516</v>
      </c>
      <c r="H79" s="168">
        <v>576725</v>
      </c>
      <c r="I79" s="168">
        <v>0</v>
      </c>
      <c r="J79" s="168">
        <v>576725</v>
      </c>
      <c r="K79" s="168"/>
      <c r="L79" s="168">
        <v>0</v>
      </c>
      <c r="M79" s="168">
        <v>192241</v>
      </c>
      <c r="N79" s="168">
        <v>192241</v>
      </c>
      <c r="O79" s="168">
        <v>192241</v>
      </c>
      <c r="P79" s="224"/>
    </row>
    <row r="80" spans="1:16" s="1" customFormat="1" ht="27.75" customHeight="1">
      <c r="A80" s="106">
        <v>8</v>
      </c>
      <c r="B80" s="224" t="s">
        <v>25</v>
      </c>
      <c r="C80" s="140" t="s">
        <v>784</v>
      </c>
      <c r="D80" s="224" t="s">
        <v>47</v>
      </c>
      <c r="E80" s="171" t="s">
        <v>788</v>
      </c>
      <c r="F80" s="225">
        <v>44131</v>
      </c>
      <c r="G80" s="225">
        <v>44496</v>
      </c>
      <c r="H80" s="168">
        <v>4092421.72</v>
      </c>
      <c r="I80" s="168">
        <v>0</v>
      </c>
      <c r="J80" s="168">
        <v>4092421.72</v>
      </c>
      <c r="K80" s="168"/>
      <c r="L80" s="168">
        <v>0</v>
      </c>
      <c r="M80" s="168">
        <v>1364140</v>
      </c>
      <c r="N80" s="168">
        <v>1364140</v>
      </c>
      <c r="O80" s="168">
        <v>1364140</v>
      </c>
      <c r="P80" s="228"/>
    </row>
    <row r="81" spans="1:16" s="1" customFormat="1" ht="56.25" customHeight="1">
      <c r="A81" s="106">
        <v>9</v>
      </c>
      <c r="B81" s="224" t="s">
        <v>25</v>
      </c>
      <c r="C81" s="229" t="s">
        <v>785</v>
      </c>
      <c r="D81" s="224" t="s">
        <v>47</v>
      </c>
      <c r="E81" s="171" t="s">
        <v>789</v>
      </c>
      <c r="F81" s="225">
        <v>44154</v>
      </c>
      <c r="G81" s="225">
        <v>44561</v>
      </c>
      <c r="H81" s="168">
        <v>6408175.9400000004</v>
      </c>
      <c r="I81" s="168">
        <v>0</v>
      </c>
      <c r="J81" s="168">
        <v>6408175.9400000004</v>
      </c>
      <c r="K81" s="168"/>
      <c r="L81" s="168">
        <v>0</v>
      </c>
      <c r="M81" s="168">
        <v>2136058</v>
      </c>
      <c r="N81" s="168">
        <v>2136058</v>
      </c>
      <c r="O81" s="168">
        <v>2136058</v>
      </c>
      <c r="P81" s="230"/>
    </row>
    <row r="82" spans="1:16" s="1" customFormat="1" ht="30.75" customHeight="1">
      <c r="A82" s="106">
        <v>10</v>
      </c>
      <c r="B82" s="224" t="s">
        <v>25</v>
      </c>
      <c r="C82" s="186" t="s">
        <v>778</v>
      </c>
      <c r="D82" s="224" t="s">
        <v>47</v>
      </c>
      <c r="E82" s="171" t="s">
        <v>788</v>
      </c>
      <c r="F82" s="231">
        <v>44210</v>
      </c>
      <c r="G82" s="231">
        <v>44300</v>
      </c>
      <c r="H82" s="168">
        <v>2336400</v>
      </c>
      <c r="I82" s="168">
        <v>0</v>
      </c>
      <c r="J82" s="168">
        <v>2336400</v>
      </c>
      <c r="K82" s="168"/>
      <c r="L82" s="168">
        <v>0</v>
      </c>
      <c r="M82" s="168">
        <v>778800</v>
      </c>
      <c r="N82" s="168">
        <v>778800</v>
      </c>
      <c r="O82" s="168">
        <v>778800</v>
      </c>
      <c r="P82" s="230"/>
    </row>
    <row r="83" spans="1:16" s="1" customFormat="1" ht="41.25" customHeight="1">
      <c r="A83" s="106">
        <v>11</v>
      </c>
      <c r="B83" s="224" t="s">
        <v>25</v>
      </c>
      <c r="C83" s="186" t="s">
        <v>786</v>
      </c>
      <c r="D83" s="224" t="s">
        <v>47</v>
      </c>
      <c r="E83" s="171" t="s">
        <v>117</v>
      </c>
      <c r="F83" s="231">
        <v>44267</v>
      </c>
      <c r="G83" s="231">
        <v>44561</v>
      </c>
      <c r="H83" s="168">
        <v>11788200</v>
      </c>
      <c r="I83" s="168">
        <v>0</v>
      </c>
      <c r="J83" s="168">
        <v>11788200</v>
      </c>
      <c r="K83" s="168"/>
      <c r="L83" s="168">
        <v>0</v>
      </c>
      <c r="M83" s="168">
        <v>3929400</v>
      </c>
      <c r="N83" s="168">
        <v>3929400</v>
      </c>
      <c r="O83" s="168">
        <v>3929400</v>
      </c>
      <c r="P83" s="230"/>
    </row>
    <row r="84" spans="1:16" s="1" customFormat="1" ht="37.5" customHeight="1">
      <c r="A84" s="435">
        <v>12</v>
      </c>
      <c r="B84" s="224" t="s">
        <v>25</v>
      </c>
      <c r="C84" s="186" t="s">
        <v>787</v>
      </c>
      <c r="D84" s="224" t="s">
        <v>47</v>
      </c>
      <c r="E84" s="171" t="s">
        <v>117</v>
      </c>
      <c r="F84" s="231">
        <v>44209</v>
      </c>
      <c r="G84" s="231">
        <v>44278</v>
      </c>
      <c r="H84" s="168">
        <v>821120.34</v>
      </c>
      <c r="I84" s="168">
        <v>0</v>
      </c>
      <c r="J84" s="168">
        <v>821120.34</v>
      </c>
      <c r="K84" s="168"/>
      <c r="L84" s="168">
        <v>197068</v>
      </c>
      <c r="M84" s="168">
        <v>208017</v>
      </c>
      <c r="N84" s="168">
        <v>208017</v>
      </c>
      <c r="O84" s="168">
        <v>208017</v>
      </c>
      <c r="P84" s="224"/>
    </row>
    <row r="85" spans="1:16" s="4" customFormat="1" ht="56.25" customHeight="1">
      <c r="A85" s="742" t="s">
        <v>20</v>
      </c>
      <c r="B85" s="742"/>
      <c r="C85" s="742"/>
      <c r="D85" s="742"/>
      <c r="E85" s="742"/>
      <c r="F85" s="742"/>
      <c r="G85" s="742"/>
      <c r="H85" s="433">
        <f>SUM(H73:H84)</f>
        <v>41500919</v>
      </c>
      <c r="I85" s="434">
        <f t="shared" ref="I85:O85" si="7">SUM(I73:I84)</f>
        <v>4151343.4</v>
      </c>
      <c r="J85" s="433">
        <f t="shared" si="7"/>
        <v>37349575.600000009</v>
      </c>
      <c r="K85" s="433">
        <f t="shared" si="7"/>
        <v>0</v>
      </c>
      <c r="L85" s="433">
        <f t="shared" si="7"/>
        <v>2663307</v>
      </c>
      <c r="M85" s="433">
        <f t="shared" si="7"/>
        <v>11562084</v>
      </c>
      <c r="N85" s="433">
        <f t="shared" si="7"/>
        <v>11562084</v>
      </c>
      <c r="O85" s="433">
        <f t="shared" si="7"/>
        <v>11562084</v>
      </c>
      <c r="P85" s="436"/>
    </row>
    <row r="86" spans="1:16" s="1" customFormat="1" ht="20.25" customHeight="1">
      <c r="A86" s="759"/>
      <c r="B86" s="759"/>
      <c r="C86" s="759"/>
      <c r="D86" s="759"/>
      <c r="E86" s="759"/>
      <c r="F86" s="759"/>
      <c r="G86" s="759"/>
      <c r="H86" s="759"/>
      <c r="I86" s="759"/>
      <c r="J86" s="759"/>
      <c r="K86" s="759"/>
      <c r="L86" s="759"/>
      <c r="M86" s="759"/>
      <c r="N86" s="759"/>
      <c r="O86" s="759"/>
      <c r="P86" s="759"/>
    </row>
    <row r="87" spans="1:16" s="1" customFormat="1" ht="60.75" customHeight="1">
      <c r="A87" s="714" t="s">
        <v>163</v>
      </c>
      <c r="B87" s="714"/>
      <c r="C87" s="714"/>
      <c r="D87" s="714"/>
      <c r="E87" s="714"/>
      <c r="F87" s="714"/>
      <c r="G87" s="714"/>
      <c r="H87" s="714"/>
      <c r="I87" s="714"/>
      <c r="J87" s="714"/>
      <c r="K87" s="714"/>
      <c r="L87" s="714"/>
      <c r="M87" s="714"/>
      <c r="N87" s="714"/>
      <c r="O87" s="714"/>
      <c r="P87" s="714"/>
    </row>
    <row r="88" spans="1:16" s="101" customFormat="1" ht="36.75" customHeight="1">
      <c r="A88" s="437">
        <v>1</v>
      </c>
      <c r="B88" s="438" t="s">
        <v>40</v>
      </c>
      <c r="C88" s="186" t="s">
        <v>791</v>
      </c>
      <c r="D88" s="438" t="s">
        <v>27</v>
      </c>
      <c r="E88" s="438" t="s">
        <v>788</v>
      </c>
      <c r="F88" s="231">
        <v>43662</v>
      </c>
      <c r="G88" s="231">
        <v>44392</v>
      </c>
      <c r="H88" s="168">
        <v>4640468</v>
      </c>
      <c r="I88" s="168">
        <v>3776467.5513999998</v>
      </c>
      <c r="J88" s="168">
        <f>+H88-I88</f>
        <v>864000.44860000024</v>
      </c>
      <c r="K88" s="168"/>
      <c r="L88" s="168">
        <f>+J88/7*3</f>
        <v>370285.90654285724</v>
      </c>
      <c r="M88" s="168">
        <f>+J88/7*3</f>
        <v>370285.90654285724</v>
      </c>
      <c r="N88" s="168">
        <f>+J88-L88-M88</f>
        <v>123428.63551428576</v>
      </c>
      <c r="O88" s="168">
        <v>0</v>
      </c>
      <c r="P88" s="439"/>
    </row>
    <row r="89" spans="1:16" s="101" customFormat="1" ht="39" customHeight="1">
      <c r="A89" s="437">
        <v>2</v>
      </c>
      <c r="B89" s="438" t="s">
        <v>40</v>
      </c>
      <c r="C89" s="186" t="s">
        <v>792</v>
      </c>
      <c r="D89" s="438" t="s">
        <v>27</v>
      </c>
      <c r="E89" s="438" t="s">
        <v>788</v>
      </c>
      <c r="F89" s="231">
        <v>43662</v>
      </c>
      <c r="G89" s="231">
        <v>44392</v>
      </c>
      <c r="H89" s="168">
        <v>4780298</v>
      </c>
      <c r="I89" s="168">
        <v>4045459.2775999997</v>
      </c>
      <c r="J89" s="168">
        <f>+H89-I89</f>
        <v>734838.72240000032</v>
      </c>
      <c r="K89" s="168"/>
      <c r="L89" s="168">
        <f>+J89/7*3</f>
        <v>314930.88102857157</v>
      </c>
      <c r="M89" s="168">
        <f>+J89/7*3</f>
        <v>314930.88102857157</v>
      </c>
      <c r="N89" s="168">
        <f>+J89-L89-M89</f>
        <v>104976.96034285717</v>
      </c>
      <c r="O89" s="168">
        <v>0</v>
      </c>
      <c r="P89" s="439"/>
    </row>
    <row r="90" spans="1:16" s="101" customFormat="1" ht="26.25" customHeight="1">
      <c r="A90" s="437">
        <v>3</v>
      </c>
      <c r="B90" s="438" t="s">
        <v>25</v>
      </c>
      <c r="C90" s="186" t="s">
        <v>793</v>
      </c>
      <c r="D90" s="438" t="s">
        <v>27</v>
      </c>
      <c r="E90" s="438" t="s">
        <v>788</v>
      </c>
      <c r="F90" s="231">
        <v>44200</v>
      </c>
      <c r="G90" s="231">
        <v>44929</v>
      </c>
      <c r="H90" s="168">
        <v>29909535.52</v>
      </c>
      <c r="I90" s="168"/>
      <c r="J90" s="168">
        <f>+H90*0.5</f>
        <v>14954767.76</v>
      </c>
      <c r="K90" s="168"/>
      <c r="L90" s="168">
        <f>+J90/4</f>
        <v>3738691.94</v>
      </c>
      <c r="M90" s="168">
        <f>+L90</f>
        <v>3738691.94</v>
      </c>
      <c r="N90" s="168">
        <f>+L90</f>
        <v>3738691.94</v>
      </c>
      <c r="O90" s="168">
        <f>+L90</f>
        <v>3738691.94</v>
      </c>
      <c r="P90" s="439"/>
    </row>
    <row r="91" spans="1:16" s="101" customFormat="1" ht="41.25" customHeight="1">
      <c r="A91" s="437">
        <v>4</v>
      </c>
      <c r="B91" s="438" t="s">
        <v>25</v>
      </c>
      <c r="C91" s="186" t="s">
        <v>794</v>
      </c>
      <c r="D91" s="438" t="s">
        <v>27</v>
      </c>
      <c r="E91" s="438" t="s">
        <v>798</v>
      </c>
      <c r="F91" s="231">
        <v>44201</v>
      </c>
      <c r="G91" s="231">
        <v>44320</v>
      </c>
      <c r="H91" s="168">
        <v>413000</v>
      </c>
      <c r="I91" s="168"/>
      <c r="J91" s="168">
        <f>+H91</f>
        <v>413000</v>
      </c>
      <c r="K91" s="168"/>
      <c r="L91" s="168">
        <f>+J91/5*3</f>
        <v>247800</v>
      </c>
      <c r="M91" s="168">
        <f>+J91/5*2</f>
        <v>165200</v>
      </c>
      <c r="N91" s="168">
        <v>0</v>
      </c>
      <c r="O91" s="168">
        <v>0</v>
      </c>
      <c r="P91" s="439"/>
    </row>
    <row r="92" spans="1:16" s="101" customFormat="1" ht="31.5">
      <c r="A92" s="437">
        <v>5</v>
      </c>
      <c r="B92" s="438" t="s">
        <v>25</v>
      </c>
      <c r="C92" s="186" t="s">
        <v>795</v>
      </c>
      <c r="D92" s="438" t="s">
        <v>27</v>
      </c>
      <c r="E92" s="438" t="s">
        <v>799</v>
      </c>
      <c r="F92" s="231">
        <v>44284</v>
      </c>
      <c r="G92" s="231">
        <f>+F92+210</f>
        <v>44494</v>
      </c>
      <c r="H92" s="168">
        <v>11800000</v>
      </c>
      <c r="I92" s="168"/>
      <c r="J92" s="168">
        <f>+H92</f>
        <v>11800000</v>
      </c>
      <c r="K92" s="168"/>
      <c r="L92" s="168">
        <f>+J92/11*3</f>
        <v>3218181.8181818184</v>
      </c>
      <c r="M92" s="168">
        <f>+L92</f>
        <v>3218181.8181818184</v>
      </c>
      <c r="N92" s="168">
        <f>+L92</f>
        <v>3218181.8181818184</v>
      </c>
      <c r="O92" s="168">
        <f>+J92-L92-M92-N92</f>
        <v>2145454.5454545449</v>
      </c>
      <c r="P92" s="439"/>
    </row>
    <row r="93" spans="1:16" s="101" customFormat="1" ht="31.5" customHeight="1">
      <c r="A93" s="437">
        <v>6</v>
      </c>
      <c r="B93" s="438" t="s">
        <v>25</v>
      </c>
      <c r="C93" s="186" t="s">
        <v>796</v>
      </c>
      <c r="D93" s="438" t="s">
        <v>27</v>
      </c>
      <c r="E93" s="438" t="s">
        <v>800</v>
      </c>
      <c r="F93" s="231">
        <v>44293</v>
      </c>
      <c r="G93" s="231">
        <f>+F93+500</f>
        <v>44793</v>
      </c>
      <c r="H93" s="168">
        <v>48026000</v>
      </c>
      <c r="I93" s="168"/>
      <c r="J93" s="168">
        <f>+H93/17*8</f>
        <v>22600470.588235293</v>
      </c>
      <c r="K93" s="168"/>
      <c r="L93" s="168">
        <v>0</v>
      </c>
      <c r="M93" s="168">
        <f>+J93/3</f>
        <v>7533490.1960784309</v>
      </c>
      <c r="N93" s="168">
        <f>+M93</f>
        <v>7533490.1960784309</v>
      </c>
      <c r="O93" s="168">
        <f>+M93</f>
        <v>7533490.1960784309</v>
      </c>
      <c r="P93" s="439"/>
    </row>
    <row r="94" spans="1:16" s="101" customFormat="1" ht="40.5" customHeight="1">
      <c r="A94" s="437">
        <v>7</v>
      </c>
      <c r="B94" s="438" t="s">
        <v>25</v>
      </c>
      <c r="C94" s="186" t="s">
        <v>797</v>
      </c>
      <c r="D94" s="438" t="s">
        <v>27</v>
      </c>
      <c r="E94" s="438" t="s">
        <v>801</v>
      </c>
      <c r="F94" s="232">
        <v>2021</v>
      </c>
      <c r="G94" s="232">
        <v>2021</v>
      </c>
      <c r="H94" s="168">
        <v>1326320</v>
      </c>
      <c r="I94" s="168"/>
      <c r="J94" s="168">
        <f>+H94</f>
        <v>1326320</v>
      </c>
      <c r="K94" s="168"/>
      <c r="L94" s="168">
        <v>0</v>
      </c>
      <c r="M94" s="168">
        <f>+J94/2</f>
        <v>663160</v>
      </c>
      <c r="N94" s="168">
        <f>+J94/2</f>
        <v>663160</v>
      </c>
      <c r="O94" s="168">
        <v>0</v>
      </c>
      <c r="P94" s="439"/>
    </row>
    <row r="95" spans="1:16" s="10" customFormat="1" ht="54" customHeight="1">
      <c r="A95" s="758" t="s">
        <v>20</v>
      </c>
      <c r="B95" s="758"/>
      <c r="C95" s="758"/>
      <c r="D95" s="758"/>
      <c r="E95" s="758"/>
      <c r="F95" s="758"/>
      <c r="G95" s="758"/>
      <c r="H95" s="433">
        <f>SUM(H88:H94)</f>
        <v>100895621.52</v>
      </c>
      <c r="I95" s="434">
        <f t="shared" ref="I95:O95" si="8">SUM(I88:I94)</f>
        <v>7821926.8289999999</v>
      </c>
      <c r="J95" s="433">
        <f t="shared" si="8"/>
        <v>52693397.519235298</v>
      </c>
      <c r="K95" s="433">
        <f t="shared" si="8"/>
        <v>0</v>
      </c>
      <c r="L95" s="433">
        <f t="shared" si="8"/>
        <v>7889890.5457532471</v>
      </c>
      <c r="M95" s="433">
        <f t="shared" si="8"/>
        <v>16003940.741831679</v>
      </c>
      <c r="N95" s="433">
        <f t="shared" si="8"/>
        <v>15381929.550117392</v>
      </c>
      <c r="O95" s="433">
        <f t="shared" si="8"/>
        <v>13417636.681532975</v>
      </c>
      <c r="P95" s="440"/>
    </row>
    <row r="96" spans="1:16" ht="14.25" customHeight="1">
      <c r="A96" s="744"/>
      <c r="B96" s="744"/>
      <c r="C96" s="744"/>
      <c r="D96" s="744"/>
      <c r="E96" s="744"/>
      <c r="F96" s="744"/>
      <c r="G96" s="744"/>
      <c r="H96" s="744"/>
      <c r="I96" s="744"/>
      <c r="J96" s="744"/>
      <c r="K96" s="744"/>
      <c r="L96" s="744"/>
      <c r="M96" s="744"/>
      <c r="N96" s="744"/>
      <c r="O96" s="744"/>
      <c r="P96" s="744"/>
    </row>
    <row r="97" spans="1:16" ht="56.25" customHeight="1">
      <c r="A97" s="745" t="s">
        <v>116</v>
      </c>
      <c r="B97" s="745"/>
      <c r="C97" s="745"/>
      <c r="D97" s="745"/>
      <c r="E97" s="745"/>
      <c r="F97" s="745"/>
      <c r="G97" s="745"/>
      <c r="H97" s="745"/>
      <c r="I97" s="745"/>
      <c r="J97" s="745"/>
      <c r="K97" s="745"/>
      <c r="L97" s="745"/>
      <c r="M97" s="745"/>
      <c r="N97" s="745"/>
      <c r="O97" s="745"/>
      <c r="P97" s="745"/>
    </row>
    <row r="98" spans="1:16" s="107" customFormat="1" ht="54.75" customHeight="1">
      <c r="A98" s="24">
        <v>1</v>
      </c>
      <c r="B98" s="158" t="s">
        <v>25</v>
      </c>
      <c r="C98" s="223" t="s">
        <v>1072</v>
      </c>
      <c r="D98" s="223" t="s">
        <v>823</v>
      </c>
      <c r="E98" s="223" t="s">
        <v>1073</v>
      </c>
      <c r="F98" s="163">
        <v>42798</v>
      </c>
      <c r="G98" s="163">
        <v>44346</v>
      </c>
      <c r="H98" s="168">
        <f>69067000*1.18</f>
        <v>81499060</v>
      </c>
      <c r="I98" s="168">
        <v>77578736.090000004</v>
      </c>
      <c r="J98" s="168">
        <f t="shared" ref="J98:J105" si="9">H98-I98</f>
        <v>3920323.9099999964</v>
      </c>
      <c r="K98" s="168"/>
      <c r="L98" s="168">
        <f>J98/2</f>
        <v>1960161.9549999982</v>
      </c>
      <c r="M98" s="168">
        <f>J98/2</f>
        <v>1960161.9549999982</v>
      </c>
      <c r="N98" s="168">
        <v>0</v>
      </c>
      <c r="O98" s="168">
        <v>0</v>
      </c>
      <c r="P98" s="441" t="s">
        <v>1084</v>
      </c>
    </row>
    <row r="99" spans="1:16" s="1" customFormat="1" ht="35.25" customHeight="1">
      <c r="A99" s="24">
        <v>2</v>
      </c>
      <c r="B99" s="158" t="s">
        <v>25</v>
      </c>
      <c r="C99" s="223" t="s">
        <v>1074</v>
      </c>
      <c r="D99" s="223" t="s">
        <v>823</v>
      </c>
      <c r="E99" s="223" t="s">
        <v>725</v>
      </c>
      <c r="F99" s="163">
        <v>44202</v>
      </c>
      <c r="G99" s="163">
        <v>44546</v>
      </c>
      <c r="H99" s="168">
        <f>648335.59*1.18</f>
        <v>765035.99619999994</v>
      </c>
      <c r="I99" s="168">
        <v>0</v>
      </c>
      <c r="J99" s="168">
        <f t="shared" si="9"/>
        <v>765035.99619999994</v>
      </c>
      <c r="K99" s="168"/>
      <c r="L99" s="168">
        <f t="shared" ref="L99:L105" si="10">J99/4</f>
        <v>191258.99904999998</v>
      </c>
      <c r="M99" s="168">
        <f t="shared" ref="M99:M105" si="11">J99/4</f>
        <v>191258.99904999998</v>
      </c>
      <c r="N99" s="168">
        <f t="shared" ref="N99:N105" si="12">J99/4</f>
        <v>191258.99904999998</v>
      </c>
      <c r="O99" s="168">
        <f t="shared" ref="O99:O105" si="13">J99/4</f>
        <v>191258.99904999998</v>
      </c>
      <c r="P99" s="441" t="s">
        <v>1084</v>
      </c>
    </row>
    <row r="100" spans="1:16" s="1" customFormat="1" ht="35.25" customHeight="1">
      <c r="A100" s="24">
        <v>3</v>
      </c>
      <c r="B100" s="158" t="s">
        <v>25</v>
      </c>
      <c r="C100" s="190" t="s">
        <v>1075</v>
      </c>
      <c r="D100" s="223" t="s">
        <v>823</v>
      </c>
      <c r="E100" s="223" t="s">
        <v>725</v>
      </c>
      <c r="F100" s="163">
        <v>44204</v>
      </c>
      <c r="G100" s="163">
        <v>44548</v>
      </c>
      <c r="H100" s="168">
        <f>701167.11*1.18</f>
        <v>827377.18979999993</v>
      </c>
      <c r="I100" s="168">
        <f>138670.27*1.18</f>
        <v>163630.91859999998</v>
      </c>
      <c r="J100" s="168">
        <f t="shared" si="9"/>
        <v>663746.27119999996</v>
      </c>
      <c r="K100" s="168"/>
      <c r="L100" s="168">
        <f t="shared" si="10"/>
        <v>165936.56779999999</v>
      </c>
      <c r="M100" s="168">
        <f t="shared" si="11"/>
        <v>165936.56779999999</v>
      </c>
      <c r="N100" s="168">
        <f t="shared" si="12"/>
        <v>165936.56779999999</v>
      </c>
      <c r="O100" s="168">
        <f t="shared" si="13"/>
        <v>165936.56779999999</v>
      </c>
      <c r="P100" s="441" t="s">
        <v>1084</v>
      </c>
    </row>
    <row r="101" spans="1:16" s="1" customFormat="1" ht="35.25" customHeight="1">
      <c r="A101" s="24">
        <v>4</v>
      </c>
      <c r="B101" s="158" t="s">
        <v>25</v>
      </c>
      <c r="C101" s="190" t="s">
        <v>1076</v>
      </c>
      <c r="D101" s="223" t="s">
        <v>823</v>
      </c>
      <c r="E101" s="223" t="s">
        <v>725</v>
      </c>
      <c r="F101" s="163">
        <v>44208</v>
      </c>
      <c r="G101" s="163">
        <v>44550</v>
      </c>
      <c r="H101" s="168">
        <f>634008.33*1.18</f>
        <v>748129.82939999993</v>
      </c>
      <c r="I101" s="168">
        <f>129252.55*1.18</f>
        <v>152518.00899999999</v>
      </c>
      <c r="J101" s="168">
        <f t="shared" si="9"/>
        <v>595611.82039999997</v>
      </c>
      <c r="K101" s="168"/>
      <c r="L101" s="168">
        <f t="shared" si="10"/>
        <v>148902.95509999999</v>
      </c>
      <c r="M101" s="168">
        <f t="shared" si="11"/>
        <v>148902.95509999999</v>
      </c>
      <c r="N101" s="168">
        <f t="shared" si="12"/>
        <v>148902.95509999999</v>
      </c>
      <c r="O101" s="168">
        <f t="shared" si="13"/>
        <v>148902.95509999999</v>
      </c>
      <c r="P101" s="441" t="s">
        <v>1084</v>
      </c>
    </row>
    <row r="102" spans="1:16" s="1" customFormat="1" ht="35.25" customHeight="1">
      <c r="A102" s="24">
        <v>5</v>
      </c>
      <c r="B102" s="158" t="s">
        <v>25</v>
      </c>
      <c r="C102" s="190" t="s">
        <v>1077</v>
      </c>
      <c r="D102" s="223" t="s">
        <v>823</v>
      </c>
      <c r="E102" s="223" t="s">
        <v>725</v>
      </c>
      <c r="F102" s="163">
        <v>44204</v>
      </c>
      <c r="G102" s="163">
        <v>44548</v>
      </c>
      <c r="H102" s="168">
        <f>360191.18*1.18</f>
        <v>425025.59239999996</v>
      </c>
      <c r="I102" s="168">
        <f>106184.6*1.18</f>
        <v>125297.82799999999</v>
      </c>
      <c r="J102" s="168">
        <f t="shared" si="9"/>
        <v>299727.76439999999</v>
      </c>
      <c r="K102" s="168"/>
      <c r="L102" s="168">
        <f t="shared" si="10"/>
        <v>74931.941099999996</v>
      </c>
      <c r="M102" s="168">
        <f t="shared" si="11"/>
        <v>74931.941099999996</v>
      </c>
      <c r="N102" s="168">
        <f t="shared" si="12"/>
        <v>74931.941099999996</v>
      </c>
      <c r="O102" s="168">
        <f t="shared" si="13"/>
        <v>74931.941099999996</v>
      </c>
      <c r="P102" s="441" t="s">
        <v>1084</v>
      </c>
    </row>
    <row r="103" spans="1:16" s="1" customFormat="1" ht="35.25" customHeight="1">
      <c r="A103" s="24">
        <v>6</v>
      </c>
      <c r="B103" s="158" t="s">
        <v>25</v>
      </c>
      <c r="C103" s="190" t="s">
        <v>1078</v>
      </c>
      <c r="D103" s="223" t="s">
        <v>823</v>
      </c>
      <c r="E103" s="223" t="s">
        <v>1079</v>
      </c>
      <c r="F103" s="163">
        <v>44211</v>
      </c>
      <c r="G103" s="163">
        <v>44440</v>
      </c>
      <c r="H103" s="168">
        <f>2055782.12*1.18</f>
        <v>2425822.9016</v>
      </c>
      <c r="I103" s="168">
        <f>934147.68*1.18</f>
        <v>1102294.2623999999</v>
      </c>
      <c r="J103" s="168">
        <f t="shared" si="9"/>
        <v>1323528.6392000001</v>
      </c>
      <c r="K103" s="168"/>
      <c r="L103" s="168">
        <f t="shared" si="10"/>
        <v>330882.15980000002</v>
      </c>
      <c r="M103" s="168">
        <f t="shared" si="11"/>
        <v>330882.15980000002</v>
      </c>
      <c r="N103" s="168">
        <f t="shared" si="12"/>
        <v>330882.15980000002</v>
      </c>
      <c r="O103" s="168">
        <f t="shared" si="13"/>
        <v>330882.15980000002</v>
      </c>
      <c r="P103" s="441" t="s">
        <v>1084</v>
      </c>
    </row>
    <row r="104" spans="1:16" s="1" customFormat="1" ht="35.25" customHeight="1">
      <c r="A104" s="24">
        <v>7</v>
      </c>
      <c r="B104" s="158" t="s">
        <v>36</v>
      </c>
      <c r="C104" s="223" t="s">
        <v>1080</v>
      </c>
      <c r="D104" s="223" t="s">
        <v>823</v>
      </c>
      <c r="E104" s="223" t="s">
        <v>725</v>
      </c>
      <c r="F104" s="163">
        <v>44210</v>
      </c>
      <c r="G104" s="163">
        <v>44539</v>
      </c>
      <c r="H104" s="168">
        <f>1888888*1.18</f>
        <v>2228887.84</v>
      </c>
      <c r="I104" s="168">
        <v>0</v>
      </c>
      <c r="J104" s="168">
        <f t="shared" si="9"/>
        <v>2228887.84</v>
      </c>
      <c r="K104" s="168"/>
      <c r="L104" s="168">
        <f t="shared" si="10"/>
        <v>557221.96</v>
      </c>
      <c r="M104" s="168">
        <f t="shared" si="11"/>
        <v>557221.96</v>
      </c>
      <c r="N104" s="168">
        <f t="shared" si="12"/>
        <v>557221.96</v>
      </c>
      <c r="O104" s="168">
        <f t="shared" si="13"/>
        <v>557221.96</v>
      </c>
      <c r="P104" s="441" t="s">
        <v>1084</v>
      </c>
    </row>
    <row r="105" spans="1:16" s="1" customFormat="1" ht="35.25" customHeight="1">
      <c r="A105" s="24">
        <v>8</v>
      </c>
      <c r="B105" s="158" t="s">
        <v>25</v>
      </c>
      <c r="C105" s="223" t="s">
        <v>1081</v>
      </c>
      <c r="D105" s="223" t="s">
        <v>823</v>
      </c>
      <c r="E105" s="223" t="s">
        <v>1082</v>
      </c>
      <c r="F105" s="163">
        <v>44246</v>
      </c>
      <c r="G105" s="163">
        <v>44548</v>
      </c>
      <c r="H105" s="168">
        <f>997697.6*1.18</f>
        <v>1177283.1679999998</v>
      </c>
      <c r="I105" s="168">
        <v>0</v>
      </c>
      <c r="J105" s="168">
        <f t="shared" si="9"/>
        <v>1177283.1679999998</v>
      </c>
      <c r="K105" s="168"/>
      <c r="L105" s="168">
        <f t="shared" si="10"/>
        <v>294320.79199999996</v>
      </c>
      <c r="M105" s="168">
        <f t="shared" si="11"/>
        <v>294320.79199999996</v>
      </c>
      <c r="N105" s="168">
        <f t="shared" si="12"/>
        <v>294320.79199999996</v>
      </c>
      <c r="O105" s="168">
        <f t="shared" si="13"/>
        <v>294320.79199999996</v>
      </c>
      <c r="P105" s="441" t="s">
        <v>1084</v>
      </c>
    </row>
    <row r="106" spans="1:16" s="1" customFormat="1" ht="35.25" customHeight="1">
      <c r="A106" s="24">
        <v>9</v>
      </c>
      <c r="B106" s="158" t="s">
        <v>25</v>
      </c>
      <c r="C106" s="223" t="s">
        <v>1083</v>
      </c>
      <c r="D106" s="223" t="s">
        <v>823</v>
      </c>
      <c r="E106" s="223" t="s">
        <v>725</v>
      </c>
      <c r="F106" s="163">
        <v>44091</v>
      </c>
      <c r="G106" s="163">
        <v>44315</v>
      </c>
      <c r="H106" s="168">
        <v>1383885.72</v>
      </c>
      <c r="I106" s="168">
        <v>321741.02</v>
      </c>
      <c r="J106" s="168">
        <v>1062144.7</v>
      </c>
      <c r="K106" s="168"/>
      <c r="L106" s="168">
        <v>338370.26</v>
      </c>
      <c r="M106" s="168">
        <f>(J106-L106)/3</f>
        <v>241258.14666666664</v>
      </c>
      <c r="N106" s="168">
        <f t="shared" ref="N106:O106" si="14">M106</f>
        <v>241258.14666666664</v>
      </c>
      <c r="O106" s="168">
        <f t="shared" si="14"/>
        <v>241258.14666666664</v>
      </c>
      <c r="P106" s="441" t="s">
        <v>1084</v>
      </c>
    </row>
    <row r="107" spans="1:16" s="11" customFormat="1" ht="51" customHeight="1">
      <c r="A107" s="742" t="s">
        <v>20</v>
      </c>
      <c r="B107" s="742"/>
      <c r="C107" s="742"/>
      <c r="D107" s="742"/>
      <c r="E107" s="742"/>
      <c r="F107" s="742"/>
      <c r="G107" s="742"/>
      <c r="H107" s="433">
        <f>SUM(H98:H106)</f>
        <v>91480508.237399995</v>
      </c>
      <c r="I107" s="434">
        <f t="shared" ref="I107:O107" si="15">SUM(I98:I106)</f>
        <v>79444218.127999991</v>
      </c>
      <c r="J107" s="433">
        <f t="shared" si="15"/>
        <v>12036290.109399995</v>
      </c>
      <c r="K107" s="433">
        <f t="shared" si="15"/>
        <v>0</v>
      </c>
      <c r="L107" s="433">
        <f t="shared" si="15"/>
        <v>4061987.5898499973</v>
      </c>
      <c r="M107" s="433">
        <f t="shared" si="15"/>
        <v>3964875.476516664</v>
      </c>
      <c r="N107" s="433">
        <f t="shared" si="15"/>
        <v>2004713.5215166665</v>
      </c>
      <c r="O107" s="433">
        <f t="shared" si="15"/>
        <v>2004713.5215166665</v>
      </c>
      <c r="P107" s="138"/>
    </row>
    <row r="108" spans="1:16" ht="15.75" customHeight="1">
      <c r="A108" s="743"/>
      <c r="B108" s="743"/>
      <c r="C108" s="743"/>
      <c r="D108" s="743"/>
      <c r="E108" s="743"/>
      <c r="F108" s="743"/>
      <c r="G108" s="743"/>
      <c r="H108" s="743"/>
      <c r="I108" s="743"/>
      <c r="J108" s="743"/>
      <c r="K108" s="743"/>
      <c r="L108" s="743"/>
      <c r="M108" s="743"/>
      <c r="N108" s="743"/>
      <c r="O108" s="743"/>
      <c r="P108" s="743"/>
    </row>
    <row r="109" spans="1:16" ht="56.25" customHeight="1">
      <c r="A109" s="680" t="s">
        <v>1093</v>
      </c>
      <c r="B109" s="680"/>
      <c r="C109" s="680"/>
      <c r="D109" s="680"/>
      <c r="E109" s="680"/>
      <c r="F109" s="680"/>
      <c r="G109" s="680"/>
      <c r="H109" s="680"/>
      <c r="I109" s="680"/>
      <c r="J109" s="680"/>
      <c r="K109" s="680"/>
      <c r="L109" s="680"/>
      <c r="M109" s="680"/>
      <c r="N109" s="680"/>
      <c r="O109" s="680"/>
      <c r="P109" s="680"/>
    </row>
    <row r="110" spans="1:16" ht="47.25">
      <c r="A110" s="24">
        <v>1</v>
      </c>
      <c r="B110" s="158" t="s">
        <v>36</v>
      </c>
      <c r="C110" s="443" t="s">
        <v>1088</v>
      </c>
      <c r="D110" s="443" t="s">
        <v>819</v>
      </c>
      <c r="E110" s="443" t="s">
        <v>1087</v>
      </c>
      <c r="F110" s="444">
        <v>43203</v>
      </c>
      <c r="G110" s="444">
        <v>44374</v>
      </c>
      <c r="H110" s="168">
        <v>12508000</v>
      </c>
      <c r="I110" s="168">
        <v>3872604</v>
      </c>
      <c r="J110" s="168">
        <v>8635396</v>
      </c>
      <c r="K110" s="168"/>
      <c r="L110" s="168">
        <v>2878465.3333333335</v>
      </c>
      <c r="M110" s="168">
        <v>2878465.3333333335</v>
      </c>
      <c r="N110" s="168">
        <v>2878465.3333333335</v>
      </c>
      <c r="O110" s="168">
        <v>0</v>
      </c>
      <c r="P110" s="445"/>
    </row>
    <row r="111" spans="1:16" ht="47.25">
      <c r="A111" s="24">
        <v>2</v>
      </c>
      <c r="B111" s="158" t="s">
        <v>40</v>
      </c>
      <c r="C111" s="443" t="s">
        <v>1089</v>
      </c>
      <c r="D111" s="443" t="s">
        <v>819</v>
      </c>
      <c r="E111" s="443" t="s">
        <v>1085</v>
      </c>
      <c r="F111" s="444">
        <v>43865</v>
      </c>
      <c r="G111" s="444">
        <v>44286</v>
      </c>
      <c r="H111" s="168">
        <v>2884823</v>
      </c>
      <c r="I111" s="168">
        <v>1871530</v>
      </c>
      <c r="J111" s="168">
        <v>1013293</v>
      </c>
      <c r="K111" s="168"/>
      <c r="L111" s="168">
        <v>800000</v>
      </c>
      <c r="M111" s="168">
        <v>213293</v>
      </c>
      <c r="N111" s="168">
        <v>0</v>
      </c>
      <c r="O111" s="168">
        <v>0</v>
      </c>
      <c r="P111" s="445"/>
    </row>
    <row r="112" spans="1:16" ht="47.25">
      <c r="A112" s="24">
        <v>3</v>
      </c>
      <c r="B112" s="158" t="s">
        <v>40</v>
      </c>
      <c r="C112" s="443" t="s">
        <v>1090</v>
      </c>
      <c r="D112" s="443" t="s">
        <v>819</v>
      </c>
      <c r="E112" s="443" t="s">
        <v>1086</v>
      </c>
      <c r="F112" s="444">
        <v>43997</v>
      </c>
      <c r="G112" s="444">
        <v>44561</v>
      </c>
      <c r="H112" s="168">
        <v>74710520</v>
      </c>
      <c r="I112" s="168">
        <v>38760000</v>
      </c>
      <c r="J112" s="168">
        <v>35950520</v>
      </c>
      <c r="K112" s="168"/>
      <c r="L112" s="168">
        <v>8987630</v>
      </c>
      <c r="M112" s="168">
        <v>8987630</v>
      </c>
      <c r="N112" s="168">
        <v>8987630</v>
      </c>
      <c r="O112" s="168">
        <v>8987630</v>
      </c>
      <c r="P112" s="445"/>
    </row>
    <row r="113" spans="1:19" ht="47.25">
      <c r="A113" s="24">
        <v>4</v>
      </c>
      <c r="B113" s="158" t="s">
        <v>25</v>
      </c>
      <c r="C113" s="443" t="s">
        <v>1091</v>
      </c>
      <c r="D113" s="443" t="s">
        <v>819</v>
      </c>
      <c r="E113" s="443" t="s">
        <v>1087</v>
      </c>
      <c r="F113" s="444">
        <v>44015</v>
      </c>
      <c r="G113" s="444">
        <v>44534</v>
      </c>
      <c r="H113" s="168">
        <v>44750700</v>
      </c>
      <c r="I113" s="168">
        <v>12239613</v>
      </c>
      <c r="J113" s="168">
        <v>32511087</v>
      </c>
      <c r="K113" s="168"/>
      <c r="L113" s="168">
        <v>8127771.75</v>
      </c>
      <c r="M113" s="168">
        <v>8127771.75</v>
      </c>
      <c r="N113" s="168">
        <v>8127771.75</v>
      </c>
      <c r="O113" s="168">
        <v>8127771.75</v>
      </c>
      <c r="P113" s="445"/>
    </row>
    <row r="114" spans="1:19" s="108" customFormat="1" ht="47.25">
      <c r="A114" s="24">
        <v>5</v>
      </c>
      <c r="B114" s="158" t="s">
        <v>25</v>
      </c>
      <c r="C114" s="443" t="s">
        <v>1092</v>
      </c>
      <c r="D114" s="443" t="s">
        <v>819</v>
      </c>
      <c r="E114" s="443" t="s">
        <v>117</v>
      </c>
      <c r="F114" s="444">
        <v>44081</v>
      </c>
      <c r="G114" s="444">
        <v>44310</v>
      </c>
      <c r="H114" s="168">
        <v>9083927</v>
      </c>
      <c r="I114" s="168">
        <v>1482497</v>
      </c>
      <c r="J114" s="168">
        <v>7601430</v>
      </c>
      <c r="K114" s="168"/>
      <c r="L114" s="168">
        <v>3800715</v>
      </c>
      <c r="M114" s="168">
        <v>3800715</v>
      </c>
      <c r="N114" s="168">
        <v>0</v>
      </c>
      <c r="O114" s="168">
        <v>0</v>
      </c>
      <c r="P114" s="445"/>
      <c r="Q114" s="108" t="s">
        <v>43</v>
      </c>
      <c r="R114" s="108" t="s">
        <v>44</v>
      </c>
      <c r="S114" s="108" t="s">
        <v>42</v>
      </c>
    </row>
    <row r="115" spans="1:19" s="12" customFormat="1" ht="52.5" customHeight="1">
      <c r="A115" s="742" t="s">
        <v>20</v>
      </c>
      <c r="B115" s="742"/>
      <c r="C115" s="742"/>
      <c r="D115" s="742"/>
      <c r="E115" s="742"/>
      <c r="F115" s="742"/>
      <c r="G115" s="742"/>
      <c r="H115" s="433">
        <f>SUM(H110:H114)</f>
        <v>143937970</v>
      </c>
      <c r="I115" s="434">
        <f t="shared" ref="I115:O115" si="16">SUM(I110:I114)</f>
        <v>58226244</v>
      </c>
      <c r="J115" s="433">
        <f t="shared" si="16"/>
        <v>85711726</v>
      </c>
      <c r="K115" s="433">
        <f t="shared" si="16"/>
        <v>0</v>
      </c>
      <c r="L115" s="433">
        <f t="shared" si="16"/>
        <v>24594582.083333336</v>
      </c>
      <c r="M115" s="433">
        <f t="shared" si="16"/>
        <v>24007875.083333336</v>
      </c>
      <c r="N115" s="433">
        <f t="shared" si="16"/>
        <v>19993867.083333336</v>
      </c>
      <c r="O115" s="433">
        <f t="shared" si="16"/>
        <v>17115401.75</v>
      </c>
      <c r="P115" s="446"/>
    </row>
    <row r="116" spans="1:19" ht="15.75" customHeight="1">
      <c r="A116" s="743"/>
      <c r="B116" s="743"/>
      <c r="C116" s="743"/>
      <c r="D116" s="743"/>
      <c r="E116" s="743"/>
      <c r="F116" s="743"/>
      <c r="G116" s="743"/>
      <c r="H116" s="743"/>
      <c r="I116" s="743"/>
      <c r="J116" s="743"/>
      <c r="K116" s="743"/>
      <c r="L116" s="743"/>
      <c r="M116" s="743"/>
      <c r="N116" s="743"/>
      <c r="O116" s="743"/>
      <c r="P116" s="743"/>
    </row>
    <row r="117" spans="1:19" ht="45.75" customHeight="1">
      <c r="A117" s="680" t="s">
        <v>1288</v>
      </c>
      <c r="B117" s="680"/>
      <c r="C117" s="680"/>
      <c r="D117" s="680"/>
      <c r="E117" s="680"/>
      <c r="F117" s="680"/>
      <c r="G117" s="680"/>
      <c r="H117" s="680"/>
      <c r="I117" s="680"/>
      <c r="J117" s="680"/>
      <c r="K117" s="680"/>
      <c r="L117" s="680"/>
      <c r="M117" s="680"/>
      <c r="N117" s="680"/>
      <c r="O117" s="680"/>
      <c r="P117" s="680"/>
    </row>
    <row r="118" spans="1:19" s="31" customFormat="1" ht="42.75" customHeight="1">
      <c r="A118" s="24">
        <v>1</v>
      </c>
      <c r="B118" s="158" t="s">
        <v>25</v>
      </c>
      <c r="C118" s="160" t="s">
        <v>1277</v>
      </c>
      <c r="D118" s="165" t="s">
        <v>830</v>
      </c>
      <c r="E118" s="165"/>
      <c r="F118" s="162">
        <v>44274</v>
      </c>
      <c r="G118" s="163">
        <v>44348</v>
      </c>
      <c r="H118" s="487">
        <v>395034</v>
      </c>
      <c r="I118" s="487">
        <v>0</v>
      </c>
      <c r="J118" s="487">
        <v>395034</v>
      </c>
      <c r="K118" s="487"/>
      <c r="L118" s="487">
        <v>98758</v>
      </c>
      <c r="M118" s="487">
        <v>98758</v>
      </c>
      <c r="N118" s="487">
        <v>98758</v>
      </c>
      <c r="O118" s="487">
        <v>98758</v>
      </c>
      <c r="P118" s="165" t="s">
        <v>1278</v>
      </c>
    </row>
    <row r="119" spans="1:19" s="31" customFormat="1" ht="43.5" customHeight="1">
      <c r="A119" s="24">
        <v>2</v>
      </c>
      <c r="B119" s="158" t="s">
        <v>25</v>
      </c>
      <c r="C119" s="161" t="s">
        <v>1279</v>
      </c>
      <c r="D119" s="171" t="s">
        <v>830</v>
      </c>
      <c r="E119" s="171"/>
      <c r="F119" s="155">
        <v>44280</v>
      </c>
      <c r="G119" s="156">
        <v>44369</v>
      </c>
      <c r="H119" s="487">
        <v>451940</v>
      </c>
      <c r="I119" s="487">
        <v>0</v>
      </c>
      <c r="J119" s="487">
        <v>451940</v>
      </c>
      <c r="K119" s="487"/>
      <c r="L119" s="487">
        <v>112985</v>
      </c>
      <c r="M119" s="487">
        <v>112985</v>
      </c>
      <c r="N119" s="487">
        <v>112985</v>
      </c>
      <c r="O119" s="487">
        <v>112985</v>
      </c>
      <c r="P119" s="171" t="s">
        <v>1280</v>
      </c>
    </row>
    <row r="120" spans="1:19" s="31" customFormat="1" ht="15.75">
      <c r="A120" s="24">
        <v>3</v>
      </c>
      <c r="B120" s="158" t="s">
        <v>25</v>
      </c>
      <c r="C120" s="160" t="s">
        <v>1281</v>
      </c>
      <c r="D120" s="165" t="s">
        <v>830</v>
      </c>
      <c r="E120" s="165"/>
      <c r="F120" s="155">
        <v>43906</v>
      </c>
      <c r="G120" s="155">
        <v>44153</v>
      </c>
      <c r="H120" s="487">
        <v>9713382</v>
      </c>
      <c r="I120" s="487">
        <v>7433960</v>
      </c>
      <c r="J120" s="487">
        <f>+I120</f>
        <v>7433960</v>
      </c>
      <c r="K120" s="487"/>
      <c r="L120" s="487">
        <v>1858490</v>
      </c>
      <c r="M120" s="487">
        <v>1858490</v>
      </c>
      <c r="N120" s="487">
        <v>1858490</v>
      </c>
      <c r="O120" s="487">
        <v>1858490</v>
      </c>
      <c r="P120" s="160"/>
    </row>
    <row r="121" spans="1:19" s="31" customFormat="1" ht="31.5">
      <c r="A121" s="24">
        <v>4</v>
      </c>
      <c r="B121" s="158" t="s">
        <v>25</v>
      </c>
      <c r="C121" s="161" t="s">
        <v>1282</v>
      </c>
      <c r="D121" s="171" t="s">
        <v>830</v>
      </c>
      <c r="E121" s="171"/>
      <c r="F121" s="155">
        <v>44130</v>
      </c>
      <c r="G121" s="155">
        <v>44469</v>
      </c>
      <c r="H121" s="487">
        <v>20049883</v>
      </c>
      <c r="I121" s="487">
        <v>1907953</v>
      </c>
      <c r="J121" s="487">
        <f t="shared" ref="J121:J126" si="17">+I121</f>
        <v>1907953</v>
      </c>
      <c r="K121" s="487"/>
      <c r="L121" s="487">
        <v>476988</v>
      </c>
      <c r="M121" s="487">
        <v>476988</v>
      </c>
      <c r="N121" s="487">
        <v>476988</v>
      </c>
      <c r="O121" s="487">
        <v>476988</v>
      </c>
      <c r="P121" s="161"/>
    </row>
    <row r="122" spans="1:19" s="31" customFormat="1" ht="31.5">
      <c r="A122" s="24">
        <v>5</v>
      </c>
      <c r="B122" s="158" t="s">
        <v>25</v>
      </c>
      <c r="C122" s="161" t="s">
        <v>1283</v>
      </c>
      <c r="D122" s="171" t="s">
        <v>830</v>
      </c>
      <c r="E122" s="171"/>
      <c r="F122" s="155">
        <v>44155</v>
      </c>
      <c r="G122" s="155">
        <v>44155</v>
      </c>
      <c r="H122" s="487">
        <v>523523</v>
      </c>
      <c r="I122" s="487">
        <v>440980</v>
      </c>
      <c r="J122" s="487">
        <f t="shared" si="17"/>
        <v>440980</v>
      </c>
      <c r="K122" s="487"/>
      <c r="L122" s="487">
        <v>110245</v>
      </c>
      <c r="M122" s="487">
        <v>110245</v>
      </c>
      <c r="N122" s="487">
        <v>110245</v>
      </c>
      <c r="O122" s="487">
        <v>110245</v>
      </c>
      <c r="P122" s="161"/>
    </row>
    <row r="123" spans="1:19" s="31" customFormat="1" ht="43.5" customHeight="1">
      <c r="A123" s="24">
        <v>6</v>
      </c>
      <c r="B123" s="158" t="s">
        <v>40</v>
      </c>
      <c r="C123" s="161" t="s">
        <v>1284</v>
      </c>
      <c r="D123" s="171" t="s">
        <v>830</v>
      </c>
      <c r="E123" s="171"/>
      <c r="F123" s="155">
        <v>44141</v>
      </c>
      <c r="G123" s="155">
        <v>44180</v>
      </c>
      <c r="H123" s="487">
        <v>3334783</v>
      </c>
      <c r="I123" s="487">
        <v>2261076</v>
      </c>
      <c r="J123" s="487">
        <f t="shared" si="17"/>
        <v>2261076</v>
      </c>
      <c r="K123" s="487"/>
      <c r="L123" s="487">
        <v>565269</v>
      </c>
      <c r="M123" s="487">
        <v>565269</v>
      </c>
      <c r="N123" s="487">
        <v>565269</v>
      </c>
      <c r="O123" s="487">
        <v>565269</v>
      </c>
      <c r="P123" s="161"/>
    </row>
    <row r="124" spans="1:19" s="31" customFormat="1" ht="43.5" customHeight="1">
      <c r="A124" s="24">
        <v>7</v>
      </c>
      <c r="B124" s="158" t="s">
        <v>40</v>
      </c>
      <c r="C124" s="161" t="s">
        <v>1285</v>
      </c>
      <c r="D124" s="171" t="s">
        <v>830</v>
      </c>
      <c r="E124" s="171"/>
      <c r="F124" s="155">
        <v>44201</v>
      </c>
      <c r="G124" s="155">
        <v>44538</v>
      </c>
      <c r="H124" s="487">
        <v>151921983</v>
      </c>
      <c r="I124" s="487">
        <v>409112</v>
      </c>
      <c r="J124" s="487">
        <f t="shared" si="17"/>
        <v>409112</v>
      </c>
      <c r="K124" s="487"/>
      <c r="L124" s="487">
        <v>102278</v>
      </c>
      <c r="M124" s="487">
        <v>102278</v>
      </c>
      <c r="N124" s="487">
        <v>102278</v>
      </c>
      <c r="O124" s="487">
        <v>102278</v>
      </c>
      <c r="P124" s="321"/>
    </row>
    <row r="125" spans="1:19" s="31" customFormat="1" ht="43.5" customHeight="1">
      <c r="A125" s="24">
        <v>8</v>
      </c>
      <c r="B125" s="158" t="s">
        <v>40</v>
      </c>
      <c r="C125" s="161" t="s">
        <v>1286</v>
      </c>
      <c r="D125" s="171" t="s">
        <v>830</v>
      </c>
      <c r="E125" s="171"/>
      <c r="F125" s="155">
        <v>44201</v>
      </c>
      <c r="G125" s="155">
        <v>44538</v>
      </c>
      <c r="H125" s="487">
        <v>6641681</v>
      </c>
      <c r="I125" s="487">
        <v>254693</v>
      </c>
      <c r="J125" s="487">
        <f t="shared" si="17"/>
        <v>254693</v>
      </c>
      <c r="K125" s="487"/>
      <c r="L125" s="487">
        <v>63673</v>
      </c>
      <c r="M125" s="487">
        <v>63673</v>
      </c>
      <c r="N125" s="487">
        <v>63673</v>
      </c>
      <c r="O125" s="487">
        <v>63673</v>
      </c>
      <c r="P125" s="161"/>
    </row>
    <row r="126" spans="1:19" s="31" customFormat="1" ht="43.5" customHeight="1">
      <c r="A126" s="24">
        <v>9</v>
      </c>
      <c r="B126" s="158" t="s">
        <v>40</v>
      </c>
      <c r="C126" s="161" t="s">
        <v>1287</v>
      </c>
      <c r="D126" s="171" t="s">
        <v>830</v>
      </c>
      <c r="E126" s="171"/>
      <c r="F126" s="412">
        <v>44203</v>
      </c>
      <c r="G126" s="412">
        <v>44314</v>
      </c>
      <c r="H126" s="487">
        <v>3159396</v>
      </c>
      <c r="I126" s="487">
        <v>929771</v>
      </c>
      <c r="J126" s="487">
        <f t="shared" si="17"/>
        <v>929771</v>
      </c>
      <c r="K126" s="487"/>
      <c r="L126" s="487">
        <v>232442</v>
      </c>
      <c r="M126" s="487">
        <v>232442</v>
      </c>
      <c r="N126" s="487">
        <v>232442</v>
      </c>
      <c r="O126" s="487">
        <v>232442</v>
      </c>
      <c r="P126" s="161"/>
    </row>
    <row r="127" spans="1:19" s="6" customFormat="1" ht="48.75" customHeight="1">
      <c r="A127" s="742" t="s">
        <v>20</v>
      </c>
      <c r="B127" s="742"/>
      <c r="C127" s="742"/>
      <c r="D127" s="742"/>
      <c r="E127" s="742"/>
      <c r="F127" s="742"/>
      <c r="G127" s="742"/>
      <c r="H127" s="433">
        <f>SUM(H118:H126)</f>
        <v>196191605</v>
      </c>
      <c r="I127" s="434">
        <f>SUM(I118:I126)</f>
        <v>13637545</v>
      </c>
      <c r="J127" s="433">
        <f>SUM(J118:J126)</f>
        <v>14484519</v>
      </c>
      <c r="K127" s="433">
        <f t="shared" ref="K127:O127" si="18">SUM(K118:K126)</f>
        <v>0</v>
      </c>
      <c r="L127" s="433">
        <f t="shared" si="18"/>
        <v>3621128</v>
      </c>
      <c r="M127" s="433">
        <f t="shared" si="18"/>
        <v>3621128</v>
      </c>
      <c r="N127" s="433">
        <f t="shared" si="18"/>
        <v>3621128</v>
      </c>
      <c r="O127" s="433">
        <f t="shared" si="18"/>
        <v>3621128</v>
      </c>
      <c r="P127" s="447"/>
    </row>
    <row r="128" spans="1:19" s="6" customFormat="1" ht="13.5" customHeight="1">
      <c r="A128" s="764"/>
      <c r="B128" s="764"/>
      <c r="C128" s="764"/>
      <c r="D128" s="764"/>
      <c r="E128" s="764"/>
      <c r="F128" s="764"/>
      <c r="G128" s="764"/>
      <c r="H128" s="764"/>
      <c r="I128" s="764"/>
      <c r="J128" s="764"/>
      <c r="K128" s="764"/>
      <c r="L128" s="764"/>
      <c r="M128" s="764"/>
      <c r="N128" s="764"/>
      <c r="O128" s="764"/>
      <c r="P128" s="764"/>
    </row>
    <row r="129" spans="1:16" s="6" customFormat="1" ht="54" customHeight="1">
      <c r="A129" s="680" t="s">
        <v>1289</v>
      </c>
      <c r="B129" s="680"/>
      <c r="C129" s="680"/>
      <c r="D129" s="680"/>
      <c r="E129" s="680"/>
      <c r="F129" s="680"/>
      <c r="G129" s="680"/>
      <c r="H129" s="680"/>
      <c r="I129" s="680"/>
      <c r="J129" s="680"/>
      <c r="K129" s="680"/>
      <c r="L129" s="680"/>
      <c r="M129" s="680"/>
      <c r="N129" s="680"/>
      <c r="O129" s="680"/>
      <c r="P129" s="680"/>
    </row>
    <row r="130" spans="1:16" s="102" customFormat="1" ht="44.25" customHeight="1">
      <c r="A130" s="449">
        <v>1</v>
      </c>
      <c r="B130" s="449" t="s">
        <v>25</v>
      </c>
      <c r="C130" s="161" t="s">
        <v>1290</v>
      </c>
      <c r="D130" s="228" t="s">
        <v>879</v>
      </c>
      <c r="E130" s="228" t="s">
        <v>725</v>
      </c>
      <c r="F130" s="155">
        <v>44221</v>
      </c>
      <c r="G130" s="155">
        <v>44555</v>
      </c>
      <c r="H130" s="486">
        <v>894182</v>
      </c>
      <c r="I130" s="176" t="s">
        <v>108</v>
      </c>
      <c r="J130" s="168">
        <v>894182</v>
      </c>
      <c r="K130" s="176" t="s">
        <v>108</v>
      </c>
      <c r="L130" s="487">
        <v>223545.5</v>
      </c>
      <c r="M130" s="487">
        <v>223545.5</v>
      </c>
      <c r="N130" s="487">
        <v>223545.5</v>
      </c>
      <c r="O130" s="487">
        <v>223545.5</v>
      </c>
      <c r="P130" s="155" t="s">
        <v>108</v>
      </c>
    </row>
    <row r="131" spans="1:16" s="102" customFormat="1" ht="44.25" customHeight="1">
      <c r="A131" s="449">
        <v>2</v>
      </c>
      <c r="B131" s="449" t="s">
        <v>36</v>
      </c>
      <c r="C131" s="161" t="s">
        <v>1291</v>
      </c>
      <c r="D131" s="228" t="s">
        <v>879</v>
      </c>
      <c r="E131" s="228" t="s">
        <v>725</v>
      </c>
      <c r="F131" s="155">
        <v>44214</v>
      </c>
      <c r="G131" s="155">
        <v>44559</v>
      </c>
      <c r="H131" s="486">
        <v>801494.45</v>
      </c>
      <c r="I131" s="176" t="s">
        <v>108</v>
      </c>
      <c r="J131" s="168">
        <v>801494.45</v>
      </c>
      <c r="K131" s="176" t="s">
        <v>108</v>
      </c>
      <c r="L131" s="487">
        <v>200373.61</v>
      </c>
      <c r="M131" s="487">
        <v>200373.61</v>
      </c>
      <c r="N131" s="487">
        <v>200373.61</v>
      </c>
      <c r="O131" s="487">
        <v>200373.62</v>
      </c>
      <c r="P131" s="155" t="s">
        <v>108</v>
      </c>
    </row>
    <row r="132" spans="1:16" s="102" customFormat="1" ht="81.75" customHeight="1">
      <c r="A132" s="449">
        <v>3</v>
      </c>
      <c r="B132" s="462" t="s">
        <v>25</v>
      </c>
      <c r="C132" s="161" t="s">
        <v>1292</v>
      </c>
      <c r="D132" s="228" t="s">
        <v>879</v>
      </c>
      <c r="E132" s="228" t="s">
        <v>725</v>
      </c>
      <c r="F132" s="155">
        <v>43833</v>
      </c>
      <c r="G132" s="155">
        <v>44561</v>
      </c>
      <c r="H132" s="176">
        <v>1204000</v>
      </c>
      <c r="I132" s="486">
        <v>602000</v>
      </c>
      <c r="J132" s="486">
        <v>602000</v>
      </c>
      <c r="K132" s="176" t="s">
        <v>108</v>
      </c>
      <c r="L132" s="487">
        <v>150500</v>
      </c>
      <c r="M132" s="487">
        <v>150500</v>
      </c>
      <c r="N132" s="487">
        <v>150500</v>
      </c>
      <c r="O132" s="487">
        <v>150500</v>
      </c>
      <c r="P132" s="228" t="s">
        <v>1293</v>
      </c>
    </row>
    <row r="133" spans="1:16" s="102" customFormat="1" ht="44.25" customHeight="1">
      <c r="A133" s="449">
        <v>4</v>
      </c>
      <c r="B133" s="462" t="s">
        <v>25</v>
      </c>
      <c r="C133" s="161" t="s">
        <v>1294</v>
      </c>
      <c r="D133" s="228" t="s">
        <v>879</v>
      </c>
      <c r="E133" s="228" t="s">
        <v>1295</v>
      </c>
      <c r="F133" s="155">
        <v>44204</v>
      </c>
      <c r="G133" s="155">
        <v>44533</v>
      </c>
      <c r="H133" s="176">
        <v>5192827.66</v>
      </c>
      <c r="I133" s="176" t="s">
        <v>108</v>
      </c>
      <c r="J133" s="176">
        <v>5192827.66</v>
      </c>
      <c r="K133" s="176" t="s">
        <v>108</v>
      </c>
      <c r="L133" s="487">
        <v>1298206.9099999999</v>
      </c>
      <c r="M133" s="487">
        <v>1298206.9099999999</v>
      </c>
      <c r="N133" s="487">
        <v>1298206.9099999999</v>
      </c>
      <c r="O133" s="487">
        <v>1298206.92</v>
      </c>
      <c r="P133" s="155" t="s">
        <v>108</v>
      </c>
    </row>
    <row r="134" spans="1:16" s="102" customFormat="1" ht="44.25" customHeight="1">
      <c r="A134" s="449">
        <v>5</v>
      </c>
      <c r="B134" s="462" t="s">
        <v>25</v>
      </c>
      <c r="C134" s="161" t="s">
        <v>1296</v>
      </c>
      <c r="D134" s="228" t="s">
        <v>879</v>
      </c>
      <c r="E134" s="228" t="s">
        <v>725</v>
      </c>
      <c r="F134" s="155">
        <v>44200</v>
      </c>
      <c r="G134" s="155">
        <v>44559</v>
      </c>
      <c r="H134" s="486">
        <v>2026260</v>
      </c>
      <c r="I134" s="176" t="s">
        <v>108</v>
      </c>
      <c r="J134" s="486">
        <v>2026260</v>
      </c>
      <c r="K134" s="176" t="s">
        <v>108</v>
      </c>
      <c r="L134" s="487">
        <v>506565</v>
      </c>
      <c r="M134" s="487">
        <v>506565</v>
      </c>
      <c r="N134" s="487">
        <v>506565</v>
      </c>
      <c r="O134" s="487">
        <v>506565</v>
      </c>
      <c r="P134" s="155" t="s">
        <v>108</v>
      </c>
    </row>
    <row r="135" spans="1:16" s="102" customFormat="1" ht="94.5">
      <c r="A135" s="449">
        <v>6</v>
      </c>
      <c r="B135" s="462" t="s">
        <v>25</v>
      </c>
      <c r="C135" s="161" t="s">
        <v>1297</v>
      </c>
      <c r="D135" s="228" t="s">
        <v>879</v>
      </c>
      <c r="E135" s="228" t="s">
        <v>1295</v>
      </c>
      <c r="F135" s="155">
        <v>43924</v>
      </c>
      <c r="G135" s="155">
        <v>44268</v>
      </c>
      <c r="H135" s="486">
        <v>4980159.1399999997</v>
      </c>
      <c r="I135" s="487">
        <v>4565260.9400000004</v>
      </c>
      <c r="J135" s="487">
        <v>414898.2</v>
      </c>
      <c r="K135" s="176" t="s">
        <v>108</v>
      </c>
      <c r="L135" s="487">
        <v>414898.2</v>
      </c>
      <c r="M135" s="176" t="s">
        <v>108</v>
      </c>
      <c r="N135" s="176" t="s">
        <v>108</v>
      </c>
      <c r="O135" s="176" t="s">
        <v>108</v>
      </c>
      <c r="P135" s="228" t="s">
        <v>1298</v>
      </c>
    </row>
    <row r="136" spans="1:16" s="102" customFormat="1" ht="63">
      <c r="A136" s="449">
        <v>7</v>
      </c>
      <c r="B136" s="462" t="s">
        <v>36</v>
      </c>
      <c r="C136" s="161" t="s">
        <v>1299</v>
      </c>
      <c r="D136" s="228" t="s">
        <v>879</v>
      </c>
      <c r="E136" s="228" t="s">
        <v>1295</v>
      </c>
      <c r="F136" s="155">
        <v>43955</v>
      </c>
      <c r="G136" s="155">
        <v>44554</v>
      </c>
      <c r="H136" s="486">
        <v>8553000</v>
      </c>
      <c r="I136" s="487">
        <v>4276500</v>
      </c>
      <c r="J136" s="487">
        <v>4276500</v>
      </c>
      <c r="K136" s="176" t="s">
        <v>108</v>
      </c>
      <c r="L136" s="487">
        <v>1069125</v>
      </c>
      <c r="M136" s="487">
        <v>1069125</v>
      </c>
      <c r="N136" s="487">
        <v>1069125</v>
      </c>
      <c r="O136" s="487">
        <v>1069125</v>
      </c>
      <c r="P136" s="228" t="s">
        <v>1293</v>
      </c>
    </row>
    <row r="137" spans="1:16" s="102" customFormat="1" ht="63">
      <c r="A137" s="449">
        <v>8</v>
      </c>
      <c r="B137" s="462" t="s">
        <v>36</v>
      </c>
      <c r="C137" s="161" t="s">
        <v>1300</v>
      </c>
      <c r="D137" s="228" t="s">
        <v>879</v>
      </c>
      <c r="E137" s="228" t="s">
        <v>1295</v>
      </c>
      <c r="F137" s="155">
        <v>44113</v>
      </c>
      <c r="G137" s="155">
        <v>44561</v>
      </c>
      <c r="H137" s="486">
        <v>5100000</v>
      </c>
      <c r="I137" s="487">
        <v>1275000</v>
      </c>
      <c r="J137" s="487">
        <v>3825000</v>
      </c>
      <c r="K137" s="176" t="s">
        <v>108</v>
      </c>
      <c r="L137" s="487">
        <v>956250</v>
      </c>
      <c r="M137" s="487">
        <v>956250</v>
      </c>
      <c r="N137" s="487">
        <v>956250</v>
      </c>
      <c r="O137" s="487">
        <v>956250</v>
      </c>
      <c r="P137" s="228" t="s">
        <v>1293</v>
      </c>
    </row>
    <row r="138" spans="1:16" s="102" customFormat="1" ht="15.75">
      <c r="A138" s="449">
        <v>9</v>
      </c>
      <c r="B138" s="462" t="s">
        <v>25</v>
      </c>
      <c r="C138" s="161" t="s">
        <v>1301</v>
      </c>
      <c r="D138" s="228" t="s">
        <v>879</v>
      </c>
      <c r="E138" s="228" t="s">
        <v>1295</v>
      </c>
      <c r="F138" s="155">
        <v>44216</v>
      </c>
      <c r="G138" s="155">
        <v>44561</v>
      </c>
      <c r="H138" s="176">
        <v>6887208.6600000001</v>
      </c>
      <c r="I138" s="487"/>
      <c r="J138" s="176">
        <v>6887208.6600000001</v>
      </c>
      <c r="K138" s="176" t="s">
        <v>108</v>
      </c>
      <c r="L138" s="487">
        <v>1721802.16</v>
      </c>
      <c r="M138" s="487">
        <v>1721802.16</v>
      </c>
      <c r="N138" s="487">
        <v>1721802.16</v>
      </c>
      <c r="O138" s="487">
        <v>1721802.17</v>
      </c>
      <c r="P138" s="155" t="s">
        <v>108</v>
      </c>
    </row>
    <row r="139" spans="1:16" s="102" customFormat="1" ht="94.5">
      <c r="A139" s="449">
        <v>10</v>
      </c>
      <c r="B139" s="462" t="s">
        <v>25</v>
      </c>
      <c r="C139" s="161" t="s">
        <v>1302</v>
      </c>
      <c r="D139" s="228" t="s">
        <v>879</v>
      </c>
      <c r="E139" s="228" t="s">
        <v>1295</v>
      </c>
      <c r="F139" s="155">
        <v>44274</v>
      </c>
      <c r="G139" s="155">
        <v>44774</v>
      </c>
      <c r="H139" s="176">
        <v>8648000</v>
      </c>
      <c r="I139" s="487"/>
      <c r="J139" s="176">
        <v>4324000</v>
      </c>
      <c r="K139" s="176" t="s">
        <v>108</v>
      </c>
      <c r="L139" s="487">
        <v>1081000</v>
      </c>
      <c r="M139" s="487">
        <v>1081000</v>
      </c>
      <c r="N139" s="487">
        <v>1081000</v>
      </c>
      <c r="O139" s="487">
        <v>1081000</v>
      </c>
      <c r="P139" s="228" t="s">
        <v>1303</v>
      </c>
    </row>
    <row r="140" spans="1:16" s="102" customFormat="1" ht="44.25" customHeight="1">
      <c r="A140" s="449">
        <v>11</v>
      </c>
      <c r="B140" s="462" t="s">
        <v>25</v>
      </c>
      <c r="C140" s="161" t="s">
        <v>1304</v>
      </c>
      <c r="D140" s="228" t="s">
        <v>879</v>
      </c>
      <c r="E140" s="228" t="s">
        <v>1295</v>
      </c>
      <c r="F140" s="155">
        <v>44279</v>
      </c>
      <c r="G140" s="155">
        <v>44561</v>
      </c>
      <c r="H140" s="176">
        <v>2435269.11</v>
      </c>
      <c r="I140" s="487"/>
      <c r="J140" s="176">
        <v>2435269.11</v>
      </c>
      <c r="K140" s="176" t="s">
        <v>108</v>
      </c>
      <c r="L140" s="487">
        <v>608817.27</v>
      </c>
      <c r="M140" s="487">
        <v>608817.27</v>
      </c>
      <c r="N140" s="487">
        <v>608817.27</v>
      </c>
      <c r="O140" s="487">
        <v>608817.28</v>
      </c>
      <c r="P140" s="155" t="s">
        <v>108</v>
      </c>
    </row>
    <row r="141" spans="1:16" s="102" customFormat="1" ht="44.25" customHeight="1">
      <c r="A141" s="449">
        <v>12</v>
      </c>
      <c r="B141" s="462" t="s">
        <v>25</v>
      </c>
      <c r="C141" s="161" t="s">
        <v>1305</v>
      </c>
      <c r="D141" s="228" t="s">
        <v>879</v>
      </c>
      <c r="E141" s="228" t="s">
        <v>1306</v>
      </c>
      <c r="F141" s="155">
        <v>44237</v>
      </c>
      <c r="G141" s="155">
        <v>44561</v>
      </c>
      <c r="H141" s="176">
        <v>5359280.17</v>
      </c>
      <c r="I141" s="487">
        <v>0</v>
      </c>
      <c r="J141" s="176">
        <v>5359280.17</v>
      </c>
      <c r="K141" s="176" t="s">
        <v>108</v>
      </c>
      <c r="L141" s="487">
        <v>0</v>
      </c>
      <c r="M141" s="176" t="s">
        <v>108</v>
      </c>
      <c r="N141" s="176" t="s">
        <v>108</v>
      </c>
      <c r="O141" s="176" t="s">
        <v>108</v>
      </c>
      <c r="P141" s="228" t="s">
        <v>710</v>
      </c>
    </row>
    <row r="142" spans="1:16" s="102" customFormat="1" ht="44.25" customHeight="1">
      <c r="A142" s="449">
        <v>13</v>
      </c>
      <c r="B142" s="462" t="s">
        <v>25</v>
      </c>
      <c r="C142" s="161" t="s">
        <v>1307</v>
      </c>
      <c r="D142" s="228" t="s">
        <v>879</v>
      </c>
      <c r="E142" s="228" t="s">
        <v>1306</v>
      </c>
      <c r="F142" s="155">
        <v>44264</v>
      </c>
      <c r="G142" s="155">
        <v>44191</v>
      </c>
      <c r="H142" s="176">
        <v>1636488.51</v>
      </c>
      <c r="I142" s="487">
        <v>0</v>
      </c>
      <c r="J142" s="176">
        <v>1636488.51</v>
      </c>
      <c r="K142" s="176" t="s">
        <v>108</v>
      </c>
      <c r="L142" s="487">
        <v>0</v>
      </c>
      <c r="M142" s="487"/>
      <c r="N142" s="487"/>
      <c r="O142" s="487"/>
      <c r="P142" s="228" t="s">
        <v>710</v>
      </c>
    </row>
    <row r="143" spans="1:16" s="6" customFormat="1" ht="50.25" customHeight="1">
      <c r="A143" s="742" t="s">
        <v>20</v>
      </c>
      <c r="B143" s="742"/>
      <c r="C143" s="742"/>
      <c r="D143" s="742"/>
      <c r="E143" s="742"/>
      <c r="F143" s="742"/>
      <c r="G143" s="742"/>
      <c r="H143" s="433">
        <f>SUM(H130:H142)</f>
        <v>53718169.699999996</v>
      </c>
      <c r="I143" s="434">
        <f t="shared" ref="I143:O143" si="19">SUM(I130:I142)</f>
        <v>10718760.940000001</v>
      </c>
      <c r="J143" s="433">
        <f t="shared" si="19"/>
        <v>38675408.759999998</v>
      </c>
      <c r="K143" s="433">
        <f t="shared" si="19"/>
        <v>0</v>
      </c>
      <c r="L143" s="433">
        <f t="shared" si="19"/>
        <v>8231083.6500000004</v>
      </c>
      <c r="M143" s="433">
        <f t="shared" si="19"/>
        <v>7816185.4499999993</v>
      </c>
      <c r="N143" s="433">
        <f t="shared" si="19"/>
        <v>7816185.4499999993</v>
      </c>
      <c r="O143" s="433">
        <f t="shared" si="19"/>
        <v>7816185.4900000002</v>
      </c>
      <c r="P143" s="138"/>
    </row>
    <row r="144" spans="1:16">
      <c r="A144" s="743"/>
      <c r="B144" s="743"/>
      <c r="C144" s="743"/>
      <c r="D144" s="743"/>
      <c r="E144" s="743"/>
      <c r="F144" s="743"/>
      <c r="G144" s="743"/>
      <c r="H144" s="743"/>
      <c r="I144" s="743"/>
      <c r="J144" s="743"/>
      <c r="K144" s="743"/>
      <c r="L144" s="743"/>
      <c r="M144" s="743"/>
      <c r="N144" s="743"/>
      <c r="O144" s="743"/>
      <c r="P144" s="743"/>
    </row>
    <row r="145" spans="1:16" ht="49.5" customHeight="1">
      <c r="A145" s="680" t="s">
        <v>1317</v>
      </c>
      <c r="B145" s="680"/>
      <c r="C145" s="680"/>
      <c r="D145" s="680"/>
      <c r="E145" s="680"/>
      <c r="F145" s="680"/>
      <c r="G145" s="680"/>
      <c r="H145" s="680"/>
      <c r="I145" s="680"/>
      <c r="J145" s="680"/>
      <c r="K145" s="680"/>
      <c r="L145" s="680"/>
      <c r="M145" s="680"/>
      <c r="N145" s="680"/>
      <c r="O145" s="680"/>
      <c r="P145" s="680"/>
    </row>
    <row r="146" spans="1:16" s="102" customFormat="1" ht="43.5" customHeight="1">
      <c r="A146" s="24">
        <v>1</v>
      </c>
      <c r="B146" s="158" t="s">
        <v>25</v>
      </c>
      <c r="C146" s="160" t="s">
        <v>1308</v>
      </c>
      <c r="D146" s="165" t="s">
        <v>51</v>
      </c>
      <c r="E146" s="165" t="s">
        <v>1309</v>
      </c>
      <c r="F146" s="162">
        <v>44266</v>
      </c>
      <c r="G146" s="163">
        <v>44665</v>
      </c>
      <c r="H146" s="168">
        <v>2722862</v>
      </c>
      <c r="I146" s="168"/>
      <c r="J146" s="168">
        <v>2014918</v>
      </c>
      <c r="K146" s="168"/>
      <c r="L146" s="168">
        <v>142950</v>
      </c>
      <c r="M146" s="168">
        <v>619451</v>
      </c>
      <c r="N146" s="168">
        <v>626258</v>
      </c>
      <c r="O146" s="168">
        <v>626258</v>
      </c>
      <c r="P146" s="140"/>
    </row>
    <row r="147" spans="1:16" s="102" customFormat="1" ht="43.5" customHeight="1">
      <c r="A147" s="24">
        <v>1</v>
      </c>
      <c r="B147" s="158" t="s">
        <v>25</v>
      </c>
      <c r="C147" s="161" t="s">
        <v>1310</v>
      </c>
      <c r="D147" s="165" t="s">
        <v>51</v>
      </c>
      <c r="E147" s="171" t="s">
        <v>788</v>
      </c>
      <c r="F147" s="155">
        <v>44285</v>
      </c>
      <c r="G147" s="156">
        <v>44561</v>
      </c>
      <c r="H147" s="168">
        <v>8732312</v>
      </c>
      <c r="I147" s="168"/>
      <c r="J147" s="168">
        <v>8732312</v>
      </c>
      <c r="K147" s="168"/>
      <c r="L147" s="168"/>
      <c r="M147" s="168">
        <v>3000000</v>
      </c>
      <c r="N147" s="168">
        <v>3000000</v>
      </c>
      <c r="O147" s="168">
        <v>2732312</v>
      </c>
      <c r="P147" s="140"/>
    </row>
    <row r="148" spans="1:16" s="102" customFormat="1" ht="36.75" customHeight="1">
      <c r="A148" s="24">
        <v>2</v>
      </c>
      <c r="B148" s="158" t="s">
        <v>25</v>
      </c>
      <c r="C148" s="161" t="s">
        <v>1311</v>
      </c>
      <c r="D148" s="171" t="s">
        <v>51</v>
      </c>
      <c r="E148" s="171" t="s">
        <v>1309</v>
      </c>
      <c r="F148" s="155">
        <v>44490</v>
      </c>
      <c r="G148" s="156">
        <v>44454</v>
      </c>
      <c r="H148" s="168">
        <v>2529999</v>
      </c>
      <c r="I148" s="168"/>
      <c r="J148" s="168">
        <v>2529999</v>
      </c>
      <c r="K148" s="168"/>
      <c r="L148" s="168">
        <v>703834</v>
      </c>
      <c r="M148" s="168">
        <v>913082</v>
      </c>
      <c r="N148" s="168">
        <v>913082</v>
      </c>
      <c r="O148" s="168"/>
      <c r="P148" s="140"/>
    </row>
    <row r="149" spans="1:16" s="102" customFormat="1" ht="43.5" customHeight="1">
      <c r="A149" s="24">
        <v>3</v>
      </c>
      <c r="B149" s="158" t="s">
        <v>25</v>
      </c>
      <c r="C149" s="161" t="s">
        <v>1312</v>
      </c>
      <c r="D149" s="171" t="s">
        <v>51</v>
      </c>
      <c r="E149" s="171" t="s">
        <v>1309</v>
      </c>
      <c r="F149" s="155">
        <v>44062</v>
      </c>
      <c r="G149" s="156">
        <v>44541</v>
      </c>
      <c r="H149" s="168">
        <v>12643174</v>
      </c>
      <c r="I149" s="168">
        <v>414226</v>
      </c>
      <c r="J149" s="168">
        <v>12228947</v>
      </c>
      <c r="K149" s="168"/>
      <c r="L149" s="168">
        <v>2441128</v>
      </c>
      <c r="M149" s="168">
        <v>3262606</v>
      </c>
      <c r="N149" s="168">
        <v>3262606.41</v>
      </c>
      <c r="O149" s="168">
        <v>3262606.43</v>
      </c>
      <c r="P149" s="140"/>
    </row>
    <row r="150" spans="1:16" s="102" customFormat="1" ht="43.5" customHeight="1">
      <c r="A150" s="24">
        <v>4</v>
      </c>
      <c r="B150" s="158" t="s">
        <v>25</v>
      </c>
      <c r="C150" s="161" t="s">
        <v>1313</v>
      </c>
      <c r="D150" s="171" t="s">
        <v>51</v>
      </c>
      <c r="E150" s="171" t="s">
        <v>1309</v>
      </c>
      <c r="F150" s="246">
        <v>43984</v>
      </c>
      <c r="G150" s="246">
        <v>44433</v>
      </c>
      <c r="H150" s="168">
        <v>2890540.68</v>
      </c>
      <c r="I150" s="168"/>
      <c r="J150" s="168">
        <f>H150*0.4</f>
        <v>1156216.2720000001</v>
      </c>
      <c r="K150" s="168"/>
      <c r="L150" s="168">
        <v>934842.99</v>
      </c>
      <c r="M150" s="168">
        <v>112290</v>
      </c>
      <c r="N150" s="168">
        <f>J150-L150-M150</f>
        <v>109083.28200000012</v>
      </c>
      <c r="O150" s="168"/>
      <c r="P150" s="140"/>
    </row>
    <row r="151" spans="1:16" s="102" customFormat="1" ht="43.5" customHeight="1">
      <c r="A151" s="24">
        <v>5</v>
      </c>
      <c r="B151" s="158" t="s">
        <v>25</v>
      </c>
      <c r="C151" s="161" t="s">
        <v>1314</v>
      </c>
      <c r="D151" s="171" t="s">
        <v>51</v>
      </c>
      <c r="E151" s="171" t="s">
        <v>1315</v>
      </c>
      <c r="F151" s="162">
        <v>44054</v>
      </c>
      <c r="G151" s="162">
        <v>44136</v>
      </c>
      <c r="H151" s="168">
        <v>2028831.5</v>
      </c>
      <c r="I151" s="168"/>
      <c r="J151" s="168">
        <v>1484542</v>
      </c>
      <c r="K151" s="168"/>
      <c r="L151" s="168"/>
      <c r="M151" s="168">
        <f>J151</f>
        <v>1484542</v>
      </c>
      <c r="N151" s="168"/>
      <c r="O151" s="168"/>
      <c r="P151" s="140"/>
    </row>
    <row r="152" spans="1:16" s="102" customFormat="1" ht="43.5" customHeight="1">
      <c r="A152" s="24">
        <v>6</v>
      </c>
      <c r="B152" s="158" t="s">
        <v>25</v>
      </c>
      <c r="C152" s="161" t="s">
        <v>1316</v>
      </c>
      <c r="D152" s="171" t="s">
        <v>51</v>
      </c>
      <c r="E152" s="171" t="s">
        <v>788</v>
      </c>
      <c r="F152" s="246">
        <v>44111</v>
      </c>
      <c r="G152" s="246">
        <v>44560</v>
      </c>
      <c r="H152" s="168">
        <v>13465214</v>
      </c>
      <c r="I152" s="168"/>
      <c r="J152" s="168">
        <f>H152*0.8</f>
        <v>10772171.200000001</v>
      </c>
      <c r="K152" s="168"/>
      <c r="L152" s="168">
        <v>6437564.2799999993</v>
      </c>
      <c r="M152" s="168">
        <f>J152-L152-2947536.25</f>
        <v>1387070.6700000018</v>
      </c>
      <c r="N152" s="168">
        <v>1584539.85</v>
      </c>
      <c r="O152" s="168">
        <f>J152-L152-M152-N152</f>
        <v>1362996.4</v>
      </c>
      <c r="P152" s="140"/>
    </row>
    <row r="153" spans="1:16" s="11" customFormat="1" ht="52.5" customHeight="1">
      <c r="A153" s="742" t="s">
        <v>20</v>
      </c>
      <c r="B153" s="742"/>
      <c r="C153" s="742"/>
      <c r="D153" s="742"/>
      <c r="E153" s="742"/>
      <c r="F153" s="742"/>
      <c r="G153" s="742"/>
      <c r="H153" s="433">
        <f>SUM(H146:H152)</f>
        <v>45012933.18</v>
      </c>
      <c r="I153" s="434">
        <f t="shared" ref="I153:O153" si="20">SUM(I146:I152)</f>
        <v>414226</v>
      </c>
      <c r="J153" s="433">
        <f t="shared" si="20"/>
        <v>38919105.472000003</v>
      </c>
      <c r="K153" s="433">
        <f t="shared" si="20"/>
        <v>0</v>
      </c>
      <c r="L153" s="433">
        <f t="shared" si="20"/>
        <v>10660319.27</v>
      </c>
      <c r="M153" s="433">
        <f t="shared" si="20"/>
        <v>10779041.670000002</v>
      </c>
      <c r="N153" s="433">
        <f t="shared" si="20"/>
        <v>9495569.5419999994</v>
      </c>
      <c r="O153" s="433">
        <f t="shared" si="20"/>
        <v>7984172.8300000001</v>
      </c>
      <c r="P153" s="138"/>
    </row>
    <row r="154" spans="1:16">
      <c r="A154" s="743"/>
      <c r="B154" s="743"/>
      <c r="C154" s="743"/>
      <c r="D154" s="743"/>
      <c r="E154" s="743"/>
      <c r="F154" s="743"/>
      <c r="G154" s="743"/>
      <c r="H154" s="743"/>
      <c r="I154" s="743"/>
      <c r="J154" s="743"/>
      <c r="K154" s="743"/>
      <c r="L154" s="743"/>
      <c r="M154" s="743"/>
      <c r="N154" s="743"/>
      <c r="O154" s="743"/>
      <c r="P154" s="743"/>
    </row>
    <row r="155" spans="1:16" ht="53.25" customHeight="1">
      <c r="A155" s="680" t="s">
        <v>1320</v>
      </c>
      <c r="B155" s="680"/>
      <c r="C155" s="680"/>
      <c r="D155" s="680"/>
      <c r="E155" s="680"/>
      <c r="F155" s="680"/>
      <c r="G155" s="680"/>
      <c r="H155" s="680"/>
      <c r="I155" s="680"/>
      <c r="J155" s="680"/>
      <c r="K155" s="680"/>
      <c r="L155" s="680"/>
      <c r="M155" s="680"/>
      <c r="N155" s="680"/>
      <c r="O155" s="680"/>
      <c r="P155" s="680"/>
    </row>
    <row r="156" spans="1:16" s="31" customFormat="1" ht="54.75" customHeight="1">
      <c r="A156" s="24">
        <v>1</v>
      </c>
      <c r="B156" s="158" t="s">
        <v>25</v>
      </c>
      <c r="C156" s="450" t="s">
        <v>1319</v>
      </c>
      <c r="D156" s="171" t="s">
        <v>826</v>
      </c>
      <c r="E156" s="165" t="s">
        <v>725</v>
      </c>
      <c r="F156" s="247">
        <v>44200</v>
      </c>
      <c r="G156" s="247">
        <v>44561</v>
      </c>
      <c r="H156" s="168">
        <v>9716505.3399999999</v>
      </c>
      <c r="I156" s="168">
        <v>13122967</v>
      </c>
      <c r="J156" s="168">
        <v>10890156.550000001</v>
      </c>
      <c r="K156" s="168">
        <v>1312296.7</v>
      </c>
      <c r="L156" s="168"/>
      <c r="M156" s="168">
        <v>2801402.88</v>
      </c>
      <c r="N156" s="168">
        <f>M156</f>
        <v>2801402.88</v>
      </c>
      <c r="O156" s="168">
        <f>M156</f>
        <v>2801402.88</v>
      </c>
      <c r="P156" s="25"/>
    </row>
    <row r="157" spans="1:16" s="6" customFormat="1" ht="49.5" customHeight="1">
      <c r="A157" s="742" t="s">
        <v>20</v>
      </c>
      <c r="B157" s="742"/>
      <c r="C157" s="742"/>
      <c r="D157" s="742"/>
      <c r="E157" s="742"/>
      <c r="F157" s="742"/>
      <c r="G157" s="742"/>
      <c r="H157" s="433">
        <f>SUM(H156)</f>
        <v>9716505.3399999999</v>
      </c>
      <c r="I157" s="433">
        <f t="shared" ref="I157:O157" si="21">SUM(I156)</f>
        <v>13122967</v>
      </c>
      <c r="J157" s="433">
        <f t="shared" si="21"/>
        <v>10890156.550000001</v>
      </c>
      <c r="K157" s="433">
        <f t="shared" si="21"/>
        <v>1312296.7</v>
      </c>
      <c r="L157" s="433">
        <f t="shared" si="21"/>
        <v>0</v>
      </c>
      <c r="M157" s="433">
        <f t="shared" si="21"/>
        <v>2801402.88</v>
      </c>
      <c r="N157" s="433">
        <f t="shared" si="21"/>
        <v>2801402.88</v>
      </c>
      <c r="O157" s="433">
        <f t="shared" si="21"/>
        <v>2801402.88</v>
      </c>
      <c r="P157" s="451"/>
    </row>
    <row r="158" spans="1:16">
      <c r="A158" s="743"/>
      <c r="B158" s="743"/>
      <c r="C158" s="743"/>
      <c r="D158" s="743"/>
      <c r="E158" s="743"/>
      <c r="F158" s="743"/>
      <c r="G158" s="743"/>
      <c r="H158" s="743"/>
      <c r="I158" s="743"/>
      <c r="J158" s="743"/>
      <c r="K158" s="743"/>
      <c r="L158" s="743"/>
      <c r="M158" s="743"/>
      <c r="N158" s="743"/>
      <c r="O158" s="743"/>
      <c r="P158" s="743"/>
    </row>
    <row r="159" spans="1:16" ht="49.5" customHeight="1">
      <c r="A159" s="680" t="s">
        <v>1560</v>
      </c>
      <c r="B159" s="680"/>
      <c r="C159" s="680"/>
      <c r="D159" s="680"/>
      <c r="E159" s="680"/>
      <c r="F159" s="680"/>
      <c r="G159" s="680"/>
      <c r="H159" s="680"/>
      <c r="I159" s="680"/>
      <c r="J159" s="680"/>
      <c r="K159" s="680"/>
      <c r="L159" s="680"/>
      <c r="M159" s="680"/>
      <c r="N159" s="680"/>
      <c r="O159" s="680"/>
      <c r="P159" s="680"/>
    </row>
    <row r="160" spans="1:16" s="102" customFormat="1" ht="46.5" customHeight="1">
      <c r="A160" s="24">
        <v>1</v>
      </c>
      <c r="B160" s="24" t="s">
        <v>25</v>
      </c>
      <c r="C160" s="160" t="s">
        <v>1553</v>
      </c>
      <c r="D160" s="165" t="s">
        <v>892</v>
      </c>
      <c r="E160" s="165"/>
      <c r="F160" s="165">
        <v>2020</v>
      </c>
      <c r="G160" s="295">
        <v>2021</v>
      </c>
      <c r="H160" s="168">
        <v>2916370</v>
      </c>
      <c r="I160" s="168">
        <v>1915698.97</v>
      </c>
      <c r="J160" s="168">
        <f>H160-I160</f>
        <v>1000671.03</v>
      </c>
      <c r="K160" s="168"/>
      <c r="L160" s="168">
        <v>250000</v>
      </c>
      <c r="M160" s="168">
        <v>250000</v>
      </c>
      <c r="N160" s="168">
        <v>250000</v>
      </c>
      <c r="O160" s="168">
        <v>250000</v>
      </c>
      <c r="P160" s="25"/>
    </row>
    <row r="161" spans="1:17" s="102" customFormat="1" ht="46.5" customHeight="1">
      <c r="A161" s="24">
        <v>2</v>
      </c>
      <c r="B161" s="24" t="s">
        <v>25</v>
      </c>
      <c r="C161" s="161" t="s">
        <v>1554</v>
      </c>
      <c r="D161" s="171" t="s">
        <v>892</v>
      </c>
      <c r="E161" s="171"/>
      <c r="F161" s="171">
        <v>2020</v>
      </c>
      <c r="G161" s="158">
        <v>2021</v>
      </c>
      <c r="H161" s="168">
        <v>4449906</v>
      </c>
      <c r="I161" s="168">
        <v>4165421.46</v>
      </c>
      <c r="J161" s="168">
        <f>H161-I161</f>
        <v>284484.54000000004</v>
      </c>
      <c r="K161" s="168"/>
      <c r="L161" s="168">
        <v>71121</v>
      </c>
      <c r="M161" s="168">
        <v>71121</v>
      </c>
      <c r="N161" s="168">
        <v>71121</v>
      </c>
      <c r="O161" s="168">
        <v>71121</v>
      </c>
      <c r="P161" s="25"/>
    </row>
    <row r="162" spans="1:17" s="11" customFormat="1" ht="48.75" customHeight="1">
      <c r="A162" s="742" t="s">
        <v>20</v>
      </c>
      <c r="B162" s="742"/>
      <c r="C162" s="742"/>
      <c r="D162" s="742"/>
      <c r="E162" s="742"/>
      <c r="F162" s="742"/>
      <c r="G162" s="742"/>
      <c r="H162" s="433">
        <f>SUM(H160:H161)</f>
        <v>7366276</v>
      </c>
      <c r="I162" s="434">
        <f t="shared" ref="I162:O162" si="22">SUM(I160:I161)</f>
        <v>6081120.4299999997</v>
      </c>
      <c r="J162" s="433">
        <f t="shared" si="22"/>
        <v>1285155.57</v>
      </c>
      <c r="K162" s="433">
        <f t="shared" si="22"/>
        <v>0</v>
      </c>
      <c r="L162" s="433">
        <f t="shared" si="22"/>
        <v>321121</v>
      </c>
      <c r="M162" s="433">
        <f t="shared" si="22"/>
        <v>321121</v>
      </c>
      <c r="N162" s="433">
        <f t="shared" si="22"/>
        <v>321121</v>
      </c>
      <c r="O162" s="433">
        <f t="shared" si="22"/>
        <v>321121</v>
      </c>
      <c r="P162" s="138"/>
    </row>
    <row r="163" spans="1:17">
      <c r="A163" s="743"/>
      <c r="B163" s="743"/>
      <c r="C163" s="743"/>
      <c r="D163" s="743"/>
      <c r="E163" s="743"/>
      <c r="F163" s="743"/>
      <c r="G163" s="743"/>
      <c r="H163" s="743"/>
      <c r="I163" s="743"/>
      <c r="J163" s="743"/>
      <c r="K163" s="743"/>
      <c r="L163" s="743"/>
      <c r="M163" s="743"/>
      <c r="N163" s="743"/>
      <c r="O163" s="743"/>
      <c r="P163" s="743"/>
    </row>
    <row r="164" spans="1:17" s="19" customFormat="1" ht="61.5" customHeight="1">
      <c r="A164" s="680" t="s">
        <v>1363</v>
      </c>
      <c r="B164" s="680"/>
      <c r="C164" s="680"/>
      <c r="D164" s="680"/>
      <c r="E164" s="680"/>
      <c r="F164" s="680"/>
      <c r="G164" s="680"/>
      <c r="H164" s="680"/>
      <c r="I164" s="680"/>
      <c r="J164" s="680"/>
      <c r="K164" s="680"/>
      <c r="L164" s="680"/>
      <c r="M164" s="680"/>
      <c r="N164" s="680"/>
      <c r="O164" s="680"/>
      <c r="P164" s="680"/>
    </row>
    <row r="165" spans="1:17" s="102" customFormat="1" ht="31.5">
      <c r="A165" s="24">
        <v>1</v>
      </c>
      <c r="B165" s="158" t="s">
        <v>25</v>
      </c>
      <c r="C165" s="452" t="s">
        <v>1321</v>
      </c>
      <c r="D165" s="417" t="s">
        <v>834</v>
      </c>
      <c r="E165" s="417" t="s">
        <v>1322</v>
      </c>
      <c r="F165" s="453">
        <v>44155</v>
      </c>
      <c r="G165" s="454">
        <v>44583</v>
      </c>
      <c r="H165" s="176">
        <v>37730000</v>
      </c>
      <c r="I165" s="176">
        <v>3553642</v>
      </c>
      <c r="J165" s="176">
        <v>34176357</v>
      </c>
      <c r="K165" s="176">
        <v>0</v>
      </c>
      <c r="L165" s="176">
        <v>8544089</v>
      </c>
      <c r="M165" s="176">
        <v>8544089</v>
      </c>
      <c r="N165" s="176">
        <v>8544089</v>
      </c>
      <c r="O165" s="176">
        <v>8544089</v>
      </c>
      <c r="P165" s="455"/>
      <c r="Q165" s="427" t="s">
        <v>1323</v>
      </c>
    </row>
    <row r="166" spans="1:17" s="102" customFormat="1" ht="111" customHeight="1">
      <c r="A166" s="24">
        <v>2</v>
      </c>
      <c r="B166" s="158" t="s">
        <v>25</v>
      </c>
      <c r="C166" s="452" t="s">
        <v>1324</v>
      </c>
      <c r="D166" s="417" t="s">
        <v>834</v>
      </c>
      <c r="E166" s="417" t="s">
        <v>1325</v>
      </c>
      <c r="F166" s="456">
        <v>43607</v>
      </c>
      <c r="G166" s="457" t="s">
        <v>657</v>
      </c>
      <c r="H166" s="176">
        <v>650000</v>
      </c>
      <c r="I166" s="176">
        <v>390000</v>
      </c>
      <c r="J166" s="176">
        <v>260000</v>
      </c>
      <c r="K166" s="176">
        <v>0</v>
      </c>
      <c r="L166" s="176">
        <v>0</v>
      </c>
      <c r="M166" s="176">
        <v>130000</v>
      </c>
      <c r="N166" s="176">
        <v>0</v>
      </c>
      <c r="O166" s="176">
        <v>130000</v>
      </c>
      <c r="P166" s="417" t="s">
        <v>1326</v>
      </c>
      <c r="Q166" s="428" t="s">
        <v>1327</v>
      </c>
    </row>
    <row r="167" spans="1:17" s="102" customFormat="1" ht="52.5" customHeight="1">
      <c r="A167" s="24">
        <v>3</v>
      </c>
      <c r="B167" s="158" t="s">
        <v>25</v>
      </c>
      <c r="C167" s="399" t="s">
        <v>1328</v>
      </c>
      <c r="D167" s="413" t="s">
        <v>834</v>
      </c>
      <c r="E167" s="417" t="s">
        <v>1329</v>
      </c>
      <c r="F167" s="414">
        <v>44103</v>
      </c>
      <c r="G167" s="457" t="s">
        <v>657</v>
      </c>
      <c r="H167" s="176">
        <v>1416000</v>
      </c>
      <c r="I167" s="176">
        <v>354000</v>
      </c>
      <c r="J167" s="176">
        <f>H167-I167</f>
        <v>1062000</v>
      </c>
      <c r="K167" s="176">
        <v>0</v>
      </c>
      <c r="L167" s="176">
        <v>0</v>
      </c>
      <c r="M167" s="176">
        <v>0</v>
      </c>
      <c r="N167" s="176">
        <f>J167/3</f>
        <v>354000</v>
      </c>
      <c r="O167" s="176">
        <f>N167*2</f>
        <v>708000</v>
      </c>
      <c r="P167" s="413" t="s">
        <v>1330</v>
      </c>
      <c r="Q167" s="429" t="s">
        <v>1331</v>
      </c>
    </row>
    <row r="168" spans="1:17" s="102" customFormat="1" ht="78.75">
      <c r="A168" s="24">
        <v>4</v>
      </c>
      <c r="B168" s="158" t="s">
        <v>25</v>
      </c>
      <c r="C168" s="452" t="s">
        <v>1332</v>
      </c>
      <c r="D168" s="417" t="s">
        <v>834</v>
      </c>
      <c r="E168" s="417" t="s">
        <v>65</v>
      </c>
      <c r="F168" s="456">
        <v>41619</v>
      </c>
      <c r="G168" s="457" t="s">
        <v>657</v>
      </c>
      <c r="H168" s="176">
        <v>51000</v>
      </c>
      <c r="I168" s="176">
        <v>0</v>
      </c>
      <c r="J168" s="176">
        <v>51000</v>
      </c>
      <c r="K168" s="176">
        <v>0</v>
      </c>
      <c r="L168" s="176">
        <v>0</v>
      </c>
      <c r="M168" s="176">
        <v>17000</v>
      </c>
      <c r="N168" s="176">
        <v>17000</v>
      </c>
      <c r="O168" s="176">
        <v>17000</v>
      </c>
      <c r="P168" s="417" t="s">
        <v>1333</v>
      </c>
      <c r="Q168" s="428" t="s">
        <v>657</v>
      </c>
    </row>
    <row r="169" spans="1:17" s="102" customFormat="1" ht="31.5">
      <c r="A169" s="24">
        <v>5</v>
      </c>
      <c r="B169" s="158" t="s">
        <v>25</v>
      </c>
      <c r="C169" s="399" t="s">
        <v>1334</v>
      </c>
      <c r="D169" s="413" t="s">
        <v>834</v>
      </c>
      <c r="E169" s="413" t="s">
        <v>53</v>
      </c>
      <c r="F169" s="414">
        <v>43102</v>
      </c>
      <c r="G169" s="415">
        <v>44250</v>
      </c>
      <c r="H169" s="176">
        <v>1313000</v>
      </c>
      <c r="I169" s="176">
        <v>427785</v>
      </c>
      <c r="J169" s="176">
        <v>0</v>
      </c>
      <c r="K169" s="176">
        <v>0</v>
      </c>
      <c r="L169" s="176">
        <v>0</v>
      </c>
      <c r="M169" s="176">
        <v>0</v>
      </c>
      <c r="N169" s="176">
        <v>0</v>
      </c>
      <c r="O169" s="176">
        <v>0</v>
      </c>
      <c r="P169" s="413" t="s">
        <v>108</v>
      </c>
      <c r="Q169" s="429" t="s">
        <v>1335</v>
      </c>
    </row>
    <row r="170" spans="1:17" s="102" customFormat="1" ht="63">
      <c r="A170" s="24">
        <v>6</v>
      </c>
      <c r="B170" s="158" t="s">
        <v>25</v>
      </c>
      <c r="C170" s="399" t="s">
        <v>1336</v>
      </c>
      <c r="D170" s="413" t="s">
        <v>834</v>
      </c>
      <c r="E170" s="413" t="s">
        <v>65</v>
      </c>
      <c r="F170" s="414">
        <v>43280</v>
      </c>
      <c r="G170" s="415">
        <v>43459</v>
      </c>
      <c r="H170" s="176">
        <v>178500</v>
      </c>
      <c r="I170" s="176">
        <v>0</v>
      </c>
      <c r="J170" s="176">
        <v>178500</v>
      </c>
      <c r="K170" s="176">
        <v>0</v>
      </c>
      <c r="L170" s="176">
        <v>0</v>
      </c>
      <c r="M170" s="176">
        <v>59500</v>
      </c>
      <c r="N170" s="176">
        <v>59500</v>
      </c>
      <c r="O170" s="176">
        <v>59500</v>
      </c>
      <c r="P170" s="413" t="s">
        <v>1337</v>
      </c>
      <c r="Q170" s="429" t="s">
        <v>1338</v>
      </c>
    </row>
    <row r="171" spans="1:17" s="102" customFormat="1" ht="63.75">
      <c r="A171" s="24">
        <v>7</v>
      </c>
      <c r="B171" s="158" t="s">
        <v>25</v>
      </c>
      <c r="C171" s="399" t="s">
        <v>1339</v>
      </c>
      <c r="D171" s="413" t="s">
        <v>834</v>
      </c>
      <c r="E171" s="413" t="s">
        <v>53</v>
      </c>
      <c r="F171" s="413">
        <v>2019</v>
      </c>
      <c r="G171" s="416">
        <v>2020</v>
      </c>
      <c r="H171" s="176">
        <v>6000000</v>
      </c>
      <c r="I171" s="176">
        <v>0</v>
      </c>
      <c r="J171" s="176">
        <v>6000000</v>
      </c>
      <c r="K171" s="176">
        <v>0</v>
      </c>
      <c r="L171" s="176">
        <v>0</v>
      </c>
      <c r="M171" s="176">
        <v>2000000</v>
      </c>
      <c r="N171" s="176">
        <v>2000000</v>
      </c>
      <c r="O171" s="176">
        <v>2000000</v>
      </c>
      <c r="P171" s="413" t="s">
        <v>1340</v>
      </c>
      <c r="Q171" s="429" t="s">
        <v>1341</v>
      </c>
    </row>
    <row r="172" spans="1:17" s="102" customFormat="1" ht="94.5">
      <c r="A172" s="24">
        <v>8</v>
      </c>
      <c r="B172" s="158" t="s">
        <v>25</v>
      </c>
      <c r="C172" s="399" t="s">
        <v>1342</v>
      </c>
      <c r="D172" s="413" t="s">
        <v>834</v>
      </c>
      <c r="E172" s="413" t="s">
        <v>65</v>
      </c>
      <c r="F172" s="414">
        <v>44040</v>
      </c>
      <c r="G172" s="416">
        <v>2020</v>
      </c>
      <c r="H172" s="176">
        <v>500000</v>
      </c>
      <c r="I172" s="176">
        <v>0</v>
      </c>
      <c r="J172" s="176">
        <v>500000</v>
      </c>
      <c r="K172" s="176">
        <v>0</v>
      </c>
      <c r="L172" s="176">
        <v>0</v>
      </c>
      <c r="M172" s="176">
        <v>250000</v>
      </c>
      <c r="N172" s="176">
        <v>250000</v>
      </c>
      <c r="O172" s="176">
        <v>0</v>
      </c>
      <c r="P172" s="413" t="s">
        <v>1343</v>
      </c>
      <c r="Q172" s="429" t="s">
        <v>1344</v>
      </c>
    </row>
    <row r="173" spans="1:17" s="102" customFormat="1" ht="76.5">
      <c r="A173" s="24">
        <v>9</v>
      </c>
      <c r="B173" s="158" t="s">
        <v>25</v>
      </c>
      <c r="C173" s="399" t="s">
        <v>1345</v>
      </c>
      <c r="D173" s="413" t="s">
        <v>834</v>
      </c>
      <c r="E173" s="413" t="s">
        <v>65</v>
      </c>
      <c r="F173" s="413">
        <v>2021</v>
      </c>
      <c r="G173" s="416" t="s">
        <v>657</v>
      </c>
      <c r="H173" s="176">
        <v>472000</v>
      </c>
      <c r="I173" s="176">
        <v>0</v>
      </c>
      <c r="J173" s="176">
        <v>472000</v>
      </c>
      <c r="K173" s="176">
        <v>0</v>
      </c>
      <c r="L173" s="176">
        <v>0</v>
      </c>
      <c r="M173" s="176">
        <v>157333</v>
      </c>
      <c r="N173" s="176">
        <v>157333</v>
      </c>
      <c r="O173" s="176">
        <v>157334</v>
      </c>
      <c r="P173" s="413" t="s">
        <v>108</v>
      </c>
      <c r="Q173" s="429" t="s">
        <v>1346</v>
      </c>
    </row>
    <row r="174" spans="1:17" s="102" customFormat="1" ht="78.75">
      <c r="A174" s="24">
        <v>10</v>
      </c>
      <c r="B174" s="158" t="s">
        <v>25</v>
      </c>
      <c r="C174" s="399" t="s">
        <v>1347</v>
      </c>
      <c r="D174" s="413" t="s">
        <v>834</v>
      </c>
      <c r="E174" s="413" t="s">
        <v>65</v>
      </c>
      <c r="F174" s="413">
        <v>2021</v>
      </c>
      <c r="G174" s="416" t="s">
        <v>657</v>
      </c>
      <c r="H174" s="176">
        <v>750000</v>
      </c>
      <c r="I174" s="176">
        <v>0</v>
      </c>
      <c r="J174" s="176">
        <v>750000</v>
      </c>
      <c r="K174" s="176">
        <v>0</v>
      </c>
      <c r="L174" s="176">
        <v>0</v>
      </c>
      <c r="M174" s="176">
        <v>250000</v>
      </c>
      <c r="N174" s="176">
        <v>250000</v>
      </c>
      <c r="O174" s="176">
        <v>250000</v>
      </c>
      <c r="P174" s="413" t="s">
        <v>1337</v>
      </c>
      <c r="Q174" s="429" t="s">
        <v>1346</v>
      </c>
    </row>
    <row r="175" spans="1:17" s="102" customFormat="1" ht="76.5">
      <c r="A175" s="24">
        <v>11</v>
      </c>
      <c r="B175" s="158" t="s">
        <v>25</v>
      </c>
      <c r="C175" s="399" t="s">
        <v>1348</v>
      </c>
      <c r="D175" s="413" t="s">
        <v>834</v>
      </c>
      <c r="E175" s="413" t="s">
        <v>65</v>
      </c>
      <c r="F175" s="413">
        <v>2021</v>
      </c>
      <c r="G175" s="416" t="s">
        <v>657</v>
      </c>
      <c r="H175" s="176">
        <v>354000</v>
      </c>
      <c r="I175" s="176">
        <v>0</v>
      </c>
      <c r="J175" s="176">
        <v>354000</v>
      </c>
      <c r="K175" s="176">
        <v>0</v>
      </c>
      <c r="L175" s="176">
        <v>0</v>
      </c>
      <c r="M175" s="176">
        <v>118000</v>
      </c>
      <c r="N175" s="176">
        <v>118000</v>
      </c>
      <c r="O175" s="176">
        <v>118000</v>
      </c>
      <c r="P175" s="413" t="s">
        <v>108</v>
      </c>
      <c r="Q175" s="429" t="s">
        <v>1346</v>
      </c>
    </row>
    <row r="176" spans="1:17" s="102" customFormat="1" ht="80.25" customHeight="1">
      <c r="A176" s="24">
        <v>12</v>
      </c>
      <c r="B176" s="158" t="s">
        <v>25</v>
      </c>
      <c r="C176" s="399" t="s">
        <v>1349</v>
      </c>
      <c r="D176" s="413" t="s">
        <v>834</v>
      </c>
      <c r="E176" s="413" t="s">
        <v>65</v>
      </c>
      <c r="F176" s="413">
        <v>2021</v>
      </c>
      <c r="G176" s="416" t="s">
        <v>1350</v>
      </c>
      <c r="H176" s="176">
        <v>100000</v>
      </c>
      <c r="I176" s="176">
        <v>0</v>
      </c>
      <c r="J176" s="176">
        <v>0</v>
      </c>
      <c r="K176" s="176">
        <v>0</v>
      </c>
      <c r="L176" s="176">
        <v>0</v>
      </c>
      <c r="M176" s="176" t="s">
        <v>108</v>
      </c>
      <c r="N176" s="176" t="s">
        <v>108</v>
      </c>
      <c r="O176" s="176" t="s">
        <v>108</v>
      </c>
      <c r="P176" s="413" t="s">
        <v>1343</v>
      </c>
      <c r="Q176" s="429" t="s">
        <v>1351</v>
      </c>
    </row>
    <row r="177" spans="1:17" s="102" customFormat="1" ht="87.75" customHeight="1">
      <c r="A177" s="24">
        <v>13</v>
      </c>
      <c r="B177" s="158" t="s">
        <v>25</v>
      </c>
      <c r="C177" s="399" t="s">
        <v>1352</v>
      </c>
      <c r="D177" s="413" t="s">
        <v>834</v>
      </c>
      <c r="E177" s="413" t="s">
        <v>65</v>
      </c>
      <c r="F177" s="413">
        <v>2021</v>
      </c>
      <c r="G177" s="416" t="s">
        <v>1350</v>
      </c>
      <c r="H177" s="176">
        <v>160000</v>
      </c>
      <c r="I177" s="176">
        <v>0</v>
      </c>
      <c r="J177" s="176">
        <v>0</v>
      </c>
      <c r="K177" s="176">
        <v>0</v>
      </c>
      <c r="L177" s="176">
        <v>0</v>
      </c>
      <c r="M177" s="176" t="s">
        <v>108</v>
      </c>
      <c r="N177" s="176" t="s">
        <v>108</v>
      </c>
      <c r="O177" s="176" t="s">
        <v>108</v>
      </c>
      <c r="P177" s="413" t="s">
        <v>1337</v>
      </c>
      <c r="Q177" s="429" t="s">
        <v>1351</v>
      </c>
    </row>
    <row r="178" spans="1:17" s="102" customFormat="1" ht="15.75">
      <c r="A178" s="24">
        <v>14</v>
      </c>
      <c r="B178" s="158" t="s">
        <v>25</v>
      </c>
      <c r="C178" s="452" t="s">
        <v>1353</v>
      </c>
      <c r="D178" s="417" t="s">
        <v>834</v>
      </c>
      <c r="E178" s="413" t="s">
        <v>117</v>
      </c>
      <c r="F178" s="414">
        <v>43858</v>
      </c>
      <c r="G178" s="414">
        <v>44255</v>
      </c>
      <c r="H178" s="176">
        <v>11597040</v>
      </c>
      <c r="I178" s="176">
        <f>H178-J178</f>
        <v>7530000</v>
      </c>
      <c r="J178" s="176">
        <f>2134200+9664200*0.2</f>
        <v>4067040</v>
      </c>
      <c r="K178" s="176">
        <v>0</v>
      </c>
      <c r="L178" s="176">
        <v>4067040</v>
      </c>
      <c r="M178" s="176">
        <v>0</v>
      </c>
      <c r="N178" s="176">
        <f t="shared" ref="N178:O183" si="23">M178</f>
        <v>0</v>
      </c>
      <c r="O178" s="176">
        <f t="shared" si="23"/>
        <v>0</v>
      </c>
      <c r="P178" s="417"/>
      <c r="Q178" s="427"/>
    </row>
    <row r="179" spans="1:17" s="102" customFormat="1" ht="15.75">
      <c r="A179" s="24">
        <v>15</v>
      </c>
      <c r="B179" s="158" t="s">
        <v>25</v>
      </c>
      <c r="C179" s="399" t="s">
        <v>1354</v>
      </c>
      <c r="D179" s="417" t="s">
        <v>834</v>
      </c>
      <c r="E179" s="413" t="s">
        <v>117</v>
      </c>
      <c r="F179" s="414">
        <v>43865</v>
      </c>
      <c r="G179" s="414">
        <v>44443</v>
      </c>
      <c r="H179" s="176">
        <v>24417740</v>
      </c>
      <c r="I179" s="176">
        <v>0</v>
      </c>
      <c r="J179" s="176">
        <f>H179</f>
        <v>24417740</v>
      </c>
      <c r="K179" s="176">
        <v>0</v>
      </c>
      <c r="L179" s="176">
        <v>3000000</v>
      </c>
      <c r="M179" s="176">
        <v>7139246.6600000001</v>
      </c>
      <c r="N179" s="176">
        <f t="shared" si="23"/>
        <v>7139246.6600000001</v>
      </c>
      <c r="O179" s="176">
        <f t="shared" si="23"/>
        <v>7139246.6600000001</v>
      </c>
      <c r="P179" s="413"/>
      <c r="Q179" s="430"/>
    </row>
    <row r="180" spans="1:17" s="102" customFormat="1" ht="46.5" customHeight="1">
      <c r="A180" s="24">
        <v>16</v>
      </c>
      <c r="B180" s="158" t="s">
        <v>25</v>
      </c>
      <c r="C180" s="399" t="s">
        <v>1355</v>
      </c>
      <c r="D180" s="417" t="s">
        <v>834</v>
      </c>
      <c r="E180" s="413" t="s">
        <v>117</v>
      </c>
      <c r="F180" s="414">
        <v>44116</v>
      </c>
      <c r="G180" s="414">
        <v>44515</v>
      </c>
      <c r="H180" s="176">
        <v>14750000</v>
      </c>
      <c r="I180" s="176">
        <v>0</v>
      </c>
      <c r="J180" s="176">
        <f>H180</f>
        <v>14750000</v>
      </c>
      <c r="K180" s="176">
        <v>0</v>
      </c>
      <c r="L180" s="176">
        <v>3500000</v>
      </c>
      <c r="M180" s="176">
        <v>3750000</v>
      </c>
      <c r="N180" s="176">
        <f t="shared" si="23"/>
        <v>3750000</v>
      </c>
      <c r="O180" s="176">
        <f t="shared" si="23"/>
        <v>3750000</v>
      </c>
      <c r="P180" s="413" t="s">
        <v>1356</v>
      </c>
      <c r="Q180" s="431" t="s">
        <v>1357</v>
      </c>
    </row>
    <row r="181" spans="1:17" s="102" customFormat="1" ht="47.25">
      <c r="A181" s="24">
        <v>17</v>
      </c>
      <c r="B181" s="158" t="s">
        <v>25</v>
      </c>
      <c r="C181" s="399" t="s">
        <v>1358</v>
      </c>
      <c r="D181" s="417" t="s">
        <v>834</v>
      </c>
      <c r="E181" s="413" t="s">
        <v>117</v>
      </c>
      <c r="F181" s="414">
        <v>44216</v>
      </c>
      <c r="G181" s="414">
        <v>44581</v>
      </c>
      <c r="H181" s="176">
        <v>27139999.859999999</v>
      </c>
      <c r="I181" s="176">
        <v>0</v>
      </c>
      <c r="J181" s="176">
        <f>H181</f>
        <v>27139999.859999999</v>
      </c>
      <c r="K181" s="176">
        <v>0</v>
      </c>
      <c r="L181" s="176">
        <f>J181/4</f>
        <v>6784999.9649999999</v>
      </c>
      <c r="M181" s="176">
        <f>L181</f>
        <v>6784999.9649999999</v>
      </c>
      <c r="N181" s="176">
        <f t="shared" si="23"/>
        <v>6784999.9649999999</v>
      </c>
      <c r="O181" s="176">
        <f t="shared" si="23"/>
        <v>6784999.9649999999</v>
      </c>
      <c r="P181" s="413"/>
      <c r="Q181" s="430"/>
    </row>
    <row r="182" spans="1:17" s="102" customFormat="1" ht="15.75">
      <c r="A182" s="24">
        <v>18</v>
      </c>
      <c r="B182" s="158" t="s">
        <v>25</v>
      </c>
      <c r="C182" s="399" t="s">
        <v>1359</v>
      </c>
      <c r="D182" s="417" t="s">
        <v>834</v>
      </c>
      <c r="E182" s="413" t="s">
        <v>117</v>
      </c>
      <c r="F182" s="414">
        <v>44225</v>
      </c>
      <c r="G182" s="414">
        <v>44589</v>
      </c>
      <c r="H182" s="176">
        <v>4891190.8600000003</v>
      </c>
      <c r="I182" s="176">
        <v>0</v>
      </c>
      <c r="J182" s="176">
        <v>4891190.8600000003</v>
      </c>
      <c r="K182" s="176">
        <v>0</v>
      </c>
      <c r="L182" s="176">
        <f>J182/4</f>
        <v>1222797.7150000001</v>
      </c>
      <c r="M182" s="176">
        <f>L182</f>
        <v>1222797.7150000001</v>
      </c>
      <c r="N182" s="176">
        <f t="shared" si="23"/>
        <v>1222797.7150000001</v>
      </c>
      <c r="O182" s="176">
        <f t="shared" si="23"/>
        <v>1222797.7150000001</v>
      </c>
      <c r="P182" s="413"/>
      <c r="Q182" s="432"/>
    </row>
    <row r="183" spans="1:17" s="102" customFormat="1" ht="31.5">
      <c r="A183" s="24">
        <v>19</v>
      </c>
      <c r="B183" s="158" t="s">
        <v>25</v>
      </c>
      <c r="C183" s="399" t="s">
        <v>1360</v>
      </c>
      <c r="D183" s="417" t="s">
        <v>834</v>
      </c>
      <c r="E183" s="413" t="s">
        <v>117</v>
      </c>
      <c r="F183" s="414">
        <v>44242</v>
      </c>
      <c r="G183" s="414">
        <v>44560</v>
      </c>
      <c r="H183" s="176">
        <v>3885843.25</v>
      </c>
      <c r="I183" s="176">
        <v>0</v>
      </c>
      <c r="J183" s="176">
        <v>3885843.25</v>
      </c>
      <c r="K183" s="176">
        <v>0</v>
      </c>
      <c r="L183" s="176">
        <f>J183/4</f>
        <v>971460.8125</v>
      </c>
      <c r="M183" s="176">
        <f>L183</f>
        <v>971460.8125</v>
      </c>
      <c r="N183" s="176">
        <f t="shared" si="23"/>
        <v>971460.8125</v>
      </c>
      <c r="O183" s="176">
        <f t="shared" si="23"/>
        <v>971460.8125</v>
      </c>
      <c r="P183" s="413"/>
      <c r="Q183" s="432"/>
    </row>
    <row r="184" spans="1:17" s="16" customFormat="1" ht="51.75" customHeight="1">
      <c r="A184" s="742" t="s">
        <v>20</v>
      </c>
      <c r="B184" s="742"/>
      <c r="C184" s="742"/>
      <c r="D184" s="742"/>
      <c r="E184" s="742"/>
      <c r="F184" s="742"/>
      <c r="G184" s="742"/>
      <c r="H184" s="433">
        <f>SUM(H165:H183)</f>
        <v>136356313.97</v>
      </c>
      <c r="I184" s="434">
        <f t="shared" ref="I184:J184" si="24">SUM(I165:I183)</f>
        <v>12255427</v>
      </c>
      <c r="J184" s="433">
        <f t="shared" si="24"/>
        <v>122955670.97</v>
      </c>
      <c r="K184" s="433">
        <f t="shared" ref="K184:O184" si="25">SUM(K165:K183)</f>
        <v>0</v>
      </c>
      <c r="L184" s="433">
        <f t="shared" si="25"/>
        <v>28090387.4925</v>
      </c>
      <c r="M184" s="433">
        <f t="shared" si="25"/>
        <v>31394427.1525</v>
      </c>
      <c r="N184" s="433">
        <f t="shared" si="25"/>
        <v>31618427.1525</v>
      </c>
      <c r="O184" s="433">
        <f t="shared" si="25"/>
        <v>31852428.1525</v>
      </c>
      <c r="P184" s="138"/>
    </row>
    <row r="185" spans="1:17">
      <c r="A185" s="743"/>
      <c r="B185" s="743"/>
      <c r="C185" s="743"/>
      <c r="D185" s="743"/>
      <c r="E185" s="743"/>
      <c r="F185" s="743"/>
      <c r="G185" s="743"/>
      <c r="H185" s="743"/>
      <c r="I185" s="743"/>
      <c r="J185" s="743"/>
      <c r="K185" s="743"/>
      <c r="L185" s="743"/>
      <c r="M185" s="743"/>
      <c r="N185" s="743"/>
      <c r="O185" s="743"/>
      <c r="P185" s="743"/>
    </row>
    <row r="186" spans="1:17" s="20" customFormat="1" ht="48.75" customHeight="1">
      <c r="A186" s="680" t="s">
        <v>1364</v>
      </c>
      <c r="B186" s="680"/>
      <c r="C186" s="680"/>
      <c r="D186" s="680"/>
      <c r="E186" s="680"/>
      <c r="F186" s="680"/>
      <c r="G186" s="680"/>
      <c r="H186" s="680"/>
      <c r="I186" s="680"/>
      <c r="J186" s="680"/>
      <c r="K186" s="680"/>
      <c r="L186" s="680"/>
      <c r="M186" s="680"/>
      <c r="N186" s="680"/>
      <c r="O186" s="680"/>
      <c r="P186" s="680"/>
    </row>
    <row r="187" spans="1:17" s="251" customFormat="1" ht="39.75" customHeight="1">
      <c r="A187" s="26">
        <v>1</v>
      </c>
      <c r="B187" s="171" t="s">
        <v>25</v>
      </c>
      <c r="C187" s="248" t="s">
        <v>1367</v>
      </c>
      <c r="D187" s="254" t="s">
        <v>918</v>
      </c>
      <c r="E187" s="249" t="s">
        <v>1366</v>
      </c>
      <c r="F187" s="250">
        <v>44103</v>
      </c>
      <c r="G187" s="250">
        <v>44382</v>
      </c>
      <c r="H187" s="176">
        <v>2337809.91</v>
      </c>
      <c r="I187" s="176">
        <v>371204.88</v>
      </c>
      <c r="J187" s="176">
        <f t="shared" ref="J187:J191" si="26">H187-I187</f>
        <v>1966605.0300000003</v>
      </c>
      <c r="K187" s="176">
        <f>J187</f>
        <v>1966605.0300000003</v>
      </c>
      <c r="L187" s="176">
        <v>444139.14</v>
      </c>
      <c r="M187" s="176">
        <f>K187-L187</f>
        <v>1522465.8900000001</v>
      </c>
      <c r="N187" s="176">
        <v>0</v>
      </c>
      <c r="O187" s="176">
        <v>0</v>
      </c>
      <c r="P187" s="140"/>
    </row>
    <row r="188" spans="1:17" s="251" customFormat="1" ht="39.75" customHeight="1">
      <c r="A188" s="26">
        <v>2</v>
      </c>
      <c r="B188" s="171" t="s">
        <v>25</v>
      </c>
      <c r="C188" s="248" t="s">
        <v>1368</v>
      </c>
      <c r="D188" s="254" t="s">
        <v>918</v>
      </c>
      <c r="E188" s="249" t="s">
        <v>1306</v>
      </c>
      <c r="F188" s="250">
        <v>44090</v>
      </c>
      <c r="G188" s="250">
        <v>44329</v>
      </c>
      <c r="H188" s="176">
        <v>3693398.82</v>
      </c>
      <c r="I188" s="176">
        <v>1412034.24</v>
      </c>
      <c r="J188" s="176">
        <f t="shared" si="26"/>
        <v>2281364.58</v>
      </c>
      <c r="K188" s="176">
        <f>J188</f>
        <v>2281364.58</v>
      </c>
      <c r="L188" s="176">
        <f>K188/4</f>
        <v>570341.14500000002</v>
      </c>
      <c r="M188" s="176">
        <f>L188</f>
        <v>570341.14500000002</v>
      </c>
      <c r="N188" s="176">
        <f>M188</f>
        <v>570341.14500000002</v>
      </c>
      <c r="O188" s="176">
        <f>N188</f>
        <v>570341.14500000002</v>
      </c>
      <c r="P188" s="140"/>
    </row>
    <row r="189" spans="1:17" s="251" customFormat="1" ht="15.75">
      <c r="A189" s="26">
        <v>3</v>
      </c>
      <c r="B189" s="171" t="s">
        <v>25</v>
      </c>
      <c r="C189" s="248" t="s">
        <v>1369</v>
      </c>
      <c r="D189" s="254" t="s">
        <v>918</v>
      </c>
      <c r="E189" s="249" t="s">
        <v>1306</v>
      </c>
      <c r="F189" s="250">
        <v>44176</v>
      </c>
      <c r="G189" s="250">
        <v>44326</v>
      </c>
      <c r="H189" s="176">
        <v>1682326</v>
      </c>
      <c r="I189" s="176"/>
      <c r="J189" s="176">
        <f t="shared" si="26"/>
        <v>1682326</v>
      </c>
      <c r="K189" s="176">
        <v>1682326</v>
      </c>
      <c r="L189" s="176">
        <v>250756.54</v>
      </c>
      <c r="M189" s="176">
        <f>K189-L189</f>
        <v>1431569.46</v>
      </c>
      <c r="N189" s="176"/>
      <c r="O189" s="176"/>
      <c r="P189" s="140"/>
    </row>
    <row r="190" spans="1:17" s="251" customFormat="1" ht="57" customHeight="1">
      <c r="A190" s="26">
        <v>4</v>
      </c>
      <c r="B190" s="171" t="s">
        <v>25</v>
      </c>
      <c r="C190" s="248" t="s">
        <v>1370</v>
      </c>
      <c r="D190" s="254" t="s">
        <v>918</v>
      </c>
      <c r="E190" s="249" t="s">
        <v>1366</v>
      </c>
      <c r="F190" s="250">
        <v>44203</v>
      </c>
      <c r="G190" s="250">
        <v>44323</v>
      </c>
      <c r="H190" s="176">
        <v>183148.46</v>
      </c>
      <c r="I190" s="176"/>
      <c r="J190" s="176">
        <f t="shared" si="26"/>
        <v>183148.46</v>
      </c>
      <c r="K190" s="176">
        <f>J190</f>
        <v>183148.46</v>
      </c>
      <c r="L190" s="176"/>
      <c r="M190" s="176">
        <f>K190</f>
        <v>183148.46</v>
      </c>
      <c r="N190" s="176"/>
      <c r="O190" s="176"/>
      <c r="P190" s="140"/>
    </row>
    <row r="191" spans="1:17" s="251" customFormat="1" ht="39" customHeight="1">
      <c r="A191" s="26">
        <v>5</v>
      </c>
      <c r="B191" s="171" t="s">
        <v>25</v>
      </c>
      <c r="C191" s="248" t="s">
        <v>1365</v>
      </c>
      <c r="D191" s="254" t="s">
        <v>918</v>
      </c>
      <c r="E191" s="249" t="s">
        <v>1366</v>
      </c>
      <c r="F191" s="250">
        <v>44203</v>
      </c>
      <c r="G191" s="250">
        <v>44323</v>
      </c>
      <c r="H191" s="176">
        <v>182587.87</v>
      </c>
      <c r="I191" s="176"/>
      <c r="J191" s="176">
        <f t="shared" si="26"/>
        <v>182587.87</v>
      </c>
      <c r="K191" s="176">
        <f>J191</f>
        <v>182587.87</v>
      </c>
      <c r="L191" s="176"/>
      <c r="M191" s="176">
        <f>K191</f>
        <v>182587.87</v>
      </c>
      <c r="N191" s="176"/>
      <c r="O191" s="176"/>
      <c r="P191" s="140"/>
    </row>
    <row r="192" spans="1:17" s="251" customFormat="1" ht="47.25">
      <c r="A192" s="26">
        <v>6</v>
      </c>
      <c r="B192" s="171" t="s">
        <v>25</v>
      </c>
      <c r="C192" s="248" t="s">
        <v>1371</v>
      </c>
      <c r="D192" s="254" t="s">
        <v>918</v>
      </c>
      <c r="E192" s="249" t="s">
        <v>1366</v>
      </c>
      <c r="F192" s="250">
        <v>44253</v>
      </c>
      <c r="G192" s="250">
        <v>44522</v>
      </c>
      <c r="H192" s="176">
        <v>821543.44</v>
      </c>
      <c r="I192" s="176"/>
      <c r="J192" s="176">
        <f>H192</f>
        <v>821543.44</v>
      </c>
      <c r="K192" s="176">
        <f>J192</f>
        <v>821543.44</v>
      </c>
      <c r="L192" s="176">
        <v>0</v>
      </c>
      <c r="M192" s="176">
        <f>K192/3</f>
        <v>273847.8133333333</v>
      </c>
      <c r="N192" s="176">
        <f>M192</f>
        <v>273847.8133333333</v>
      </c>
      <c r="O192" s="176">
        <f>N192</f>
        <v>273847.8133333333</v>
      </c>
      <c r="P192" s="252"/>
    </row>
    <row r="193" spans="1:16" s="251" customFormat="1" ht="31.5">
      <c r="A193" s="26">
        <v>7</v>
      </c>
      <c r="B193" s="171" t="s">
        <v>25</v>
      </c>
      <c r="C193" s="248" t="s">
        <v>1372</v>
      </c>
      <c r="D193" s="254" t="s">
        <v>918</v>
      </c>
      <c r="E193" s="249" t="s">
        <v>1366</v>
      </c>
      <c r="F193" s="250">
        <v>44256</v>
      </c>
      <c r="G193" s="250">
        <v>44525</v>
      </c>
      <c r="H193" s="176">
        <v>533473.99</v>
      </c>
      <c r="I193" s="176"/>
      <c r="J193" s="176">
        <f t="shared" ref="J193:J200" si="27">H193</f>
        <v>533473.99</v>
      </c>
      <c r="K193" s="176">
        <f t="shared" ref="K193:K200" si="28">J193</f>
        <v>533473.99</v>
      </c>
      <c r="L193" s="176">
        <v>0</v>
      </c>
      <c r="M193" s="176">
        <f t="shared" ref="M193:M200" si="29">K193/3</f>
        <v>177824.66333333333</v>
      </c>
      <c r="N193" s="176">
        <f t="shared" ref="N193:O200" si="30">M193</f>
        <v>177824.66333333333</v>
      </c>
      <c r="O193" s="176">
        <f t="shared" si="30"/>
        <v>177824.66333333333</v>
      </c>
      <c r="P193" s="252"/>
    </row>
    <row r="194" spans="1:16" s="251" customFormat="1" ht="39" customHeight="1">
      <c r="A194" s="26">
        <v>8</v>
      </c>
      <c r="B194" s="171" t="s">
        <v>25</v>
      </c>
      <c r="C194" s="248" t="s">
        <v>1373</v>
      </c>
      <c r="D194" s="254" t="s">
        <v>918</v>
      </c>
      <c r="E194" s="249" t="s">
        <v>1366</v>
      </c>
      <c r="F194" s="250">
        <v>44250</v>
      </c>
      <c r="G194" s="250">
        <v>44519</v>
      </c>
      <c r="H194" s="176">
        <v>595840.04</v>
      </c>
      <c r="I194" s="176"/>
      <c r="J194" s="176">
        <f t="shared" si="27"/>
        <v>595840.04</v>
      </c>
      <c r="K194" s="176">
        <f t="shared" si="28"/>
        <v>595840.04</v>
      </c>
      <c r="L194" s="176">
        <v>0</v>
      </c>
      <c r="M194" s="176">
        <f t="shared" si="29"/>
        <v>198613.34666666668</v>
      </c>
      <c r="N194" s="176">
        <f t="shared" si="30"/>
        <v>198613.34666666668</v>
      </c>
      <c r="O194" s="176">
        <f t="shared" si="30"/>
        <v>198613.34666666668</v>
      </c>
      <c r="P194" s="252"/>
    </row>
    <row r="195" spans="1:16" s="251" customFormat="1" ht="39" customHeight="1">
      <c r="A195" s="26">
        <v>9</v>
      </c>
      <c r="B195" s="171" t="s">
        <v>25</v>
      </c>
      <c r="C195" s="248" t="s">
        <v>1374</v>
      </c>
      <c r="D195" s="254" t="s">
        <v>918</v>
      </c>
      <c r="E195" s="249" t="s">
        <v>1366</v>
      </c>
      <c r="F195" s="250">
        <v>44250</v>
      </c>
      <c r="G195" s="250">
        <v>44519</v>
      </c>
      <c r="H195" s="176">
        <v>562493.25</v>
      </c>
      <c r="I195" s="176"/>
      <c r="J195" s="176">
        <f t="shared" si="27"/>
        <v>562493.25</v>
      </c>
      <c r="K195" s="176">
        <f t="shared" si="28"/>
        <v>562493.25</v>
      </c>
      <c r="L195" s="176">
        <v>0</v>
      </c>
      <c r="M195" s="176">
        <f t="shared" si="29"/>
        <v>187497.75</v>
      </c>
      <c r="N195" s="176">
        <f t="shared" si="30"/>
        <v>187497.75</v>
      </c>
      <c r="O195" s="176">
        <f t="shared" si="30"/>
        <v>187497.75</v>
      </c>
      <c r="P195" s="252"/>
    </row>
    <row r="196" spans="1:16" s="251" customFormat="1" ht="66.75" customHeight="1">
      <c r="A196" s="26">
        <v>10</v>
      </c>
      <c r="B196" s="171" t="s">
        <v>25</v>
      </c>
      <c r="C196" s="248" t="s">
        <v>1375</v>
      </c>
      <c r="D196" s="254" t="s">
        <v>918</v>
      </c>
      <c r="E196" s="249" t="s">
        <v>1366</v>
      </c>
      <c r="F196" s="250">
        <v>44256</v>
      </c>
      <c r="G196" s="250">
        <v>44525</v>
      </c>
      <c r="H196" s="176">
        <v>652761.27</v>
      </c>
      <c r="I196" s="176"/>
      <c r="J196" s="176">
        <f t="shared" si="27"/>
        <v>652761.27</v>
      </c>
      <c r="K196" s="176">
        <f t="shared" si="28"/>
        <v>652761.27</v>
      </c>
      <c r="L196" s="176">
        <v>0</v>
      </c>
      <c r="M196" s="176">
        <f t="shared" si="29"/>
        <v>217587.09</v>
      </c>
      <c r="N196" s="176">
        <f t="shared" si="30"/>
        <v>217587.09</v>
      </c>
      <c r="O196" s="176">
        <f t="shared" si="30"/>
        <v>217587.09</v>
      </c>
      <c r="P196" s="252"/>
    </row>
    <row r="197" spans="1:16" s="251" customFormat="1" ht="42" customHeight="1">
      <c r="A197" s="26">
        <v>11</v>
      </c>
      <c r="B197" s="171" t="s">
        <v>25</v>
      </c>
      <c r="C197" s="248" t="s">
        <v>1376</v>
      </c>
      <c r="D197" s="254" t="s">
        <v>918</v>
      </c>
      <c r="E197" s="249" t="s">
        <v>1306</v>
      </c>
      <c r="F197" s="253">
        <v>2021</v>
      </c>
      <c r="G197" s="253">
        <v>2021</v>
      </c>
      <c r="H197" s="176">
        <v>11766960</v>
      </c>
      <c r="I197" s="176"/>
      <c r="J197" s="176">
        <f t="shared" si="27"/>
        <v>11766960</v>
      </c>
      <c r="K197" s="176">
        <f t="shared" si="28"/>
        <v>11766960</v>
      </c>
      <c r="L197" s="176">
        <v>0</v>
      </c>
      <c r="M197" s="176">
        <f t="shared" si="29"/>
        <v>3922320</v>
      </c>
      <c r="N197" s="176">
        <f t="shared" si="30"/>
        <v>3922320</v>
      </c>
      <c r="O197" s="176">
        <f t="shared" si="30"/>
        <v>3922320</v>
      </c>
      <c r="P197" s="252"/>
    </row>
    <row r="198" spans="1:16" s="251" customFormat="1" ht="47.25">
      <c r="A198" s="26">
        <v>12</v>
      </c>
      <c r="B198" s="171" t="s">
        <v>25</v>
      </c>
      <c r="C198" s="248" t="s">
        <v>1377</v>
      </c>
      <c r="D198" s="254" t="s">
        <v>918</v>
      </c>
      <c r="E198" s="249" t="s">
        <v>1306</v>
      </c>
      <c r="F198" s="253">
        <v>2021</v>
      </c>
      <c r="G198" s="253">
        <v>2021</v>
      </c>
      <c r="H198" s="176">
        <v>222992.86</v>
      </c>
      <c r="I198" s="176"/>
      <c r="J198" s="176">
        <f t="shared" si="27"/>
        <v>222992.86</v>
      </c>
      <c r="K198" s="176">
        <f t="shared" si="28"/>
        <v>222992.86</v>
      </c>
      <c r="L198" s="176">
        <v>0</v>
      </c>
      <c r="M198" s="176">
        <f t="shared" si="29"/>
        <v>74330.953333333324</v>
      </c>
      <c r="N198" s="176">
        <f t="shared" si="30"/>
        <v>74330.953333333324</v>
      </c>
      <c r="O198" s="176">
        <f t="shared" si="30"/>
        <v>74330.953333333324</v>
      </c>
      <c r="P198" s="252"/>
    </row>
    <row r="199" spans="1:16" s="251" customFormat="1" ht="31.5">
      <c r="A199" s="26">
        <v>13</v>
      </c>
      <c r="B199" s="171" t="s">
        <v>25</v>
      </c>
      <c r="C199" s="248" t="s">
        <v>1379</v>
      </c>
      <c r="D199" s="254" t="s">
        <v>918</v>
      </c>
      <c r="E199" s="249" t="s">
        <v>1306</v>
      </c>
      <c r="F199" s="253">
        <v>2021</v>
      </c>
      <c r="G199" s="253">
        <v>2023</v>
      </c>
      <c r="H199" s="176">
        <v>48940635</v>
      </c>
      <c r="I199" s="176"/>
      <c r="J199" s="176">
        <v>24190000</v>
      </c>
      <c r="K199" s="176"/>
      <c r="L199" s="176">
        <v>3293089</v>
      </c>
      <c r="M199" s="176">
        <v>8358764</v>
      </c>
      <c r="N199" s="176">
        <v>7313918</v>
      </c>
      <c r="O199" s="176">
        <f>N199</f>
        <v>7313918</v>
      </c>
      <c r="P199" s="252"/>
    </row>
    <row r="200" spans="1:16" s="251" customFormat="1" ht="31.5">
      <c r="A200" s="26">
        <v>14</v>
      </c>
      <c r="B200" s="171" t="s">
        <v>25</v>
      </c>
      <c r="C200" s="248" t="s">
        <v>1378</v>
      </c>
      <c r="D200" s="254" t="s">
        <v>918</v>
      </c>
      <c r="E200" s="249" t="s">
        <v>1306</v>
      </c>
      <c r="F200" s="253">
        <v>2021</v>
      </c>
      <c r="G200" s="253">
        <v>2021</v>
      </c>
      <c r="H200" s="176">
        <v>173527.81</v>
      </c>
      <c r="I200" s="176"/>
      <c r="J200" s="176">
        <f t="shared" si="27"/>
        <v>173527.81</v>
      </c>
      <c r="K200" s="176">
        <f t="shared" si="28"/>
        <v>173527.81</v>
      </c>
      <c r="L200" s="176">
        <v>0</v>
      </c>
      <c r="M200" s="176">
        <f t="shared" si="29"/>
        <v>57842.603333333333</v>
      </c>
      <c r="N200" s="176">
        <f t="shared" si="30"/>
        <v>57842.603333333333</v>
      </c>
      <c r="O200" s="176">
        <f t="shared" si="30"/>
        <v>57842.603333333333</v>
      </c>
      <c r="P200" s="252"/>
    </row>
    <row r="201" spans="1:16" s="11" customFormat="1" ht="51" customHeight="1">
      <c r="A201" s="742" t="s">
        <v>20</v>
      </c>
      <c r="B201" s="742"/>
      <c r="C201" s="742"/>
      <c r="D201" s="742"/>
      <c r="E201" s="742"/>
      <c r="F201" s="742"/>
      <c r="G201" s="742"/>
      <c r="H201" s="433">
        <f>SUM(H187:H200)</f>
        <v>72349498.719999999</v>
      </c>
      <c r="I201" s="434">
        <f t="shared" ref="I201:O201" si="31">SUM(I187:I200)</f>
        <v>1783239.12</v>
      </c>
      <c r="J201" s="433">
        <f t="shared" si="31"/>
        <v>45815624.600000001</v>
      </c>
      <c r="K201" s="433">
        <f t="shared" si="31"/>
        <v>21625624.599999998</v>
      </c>
      <c r="L201" s="433">
        <f t="shared" si="31"/>
        <v>4558325.8250000002</v>
      </c>
      <c r="M201" s="433">
        <f t="shared" si="31"/>
        <v>17358741.044999998</v>
      </c>
      <c r="N201" s="433">
        <f t="shared" si="31"/>
        <v>12994123.365</v>
      </c>
      <c r="O201" s="433">
        <f t="shared" si="31"/>
        <v>12994123.365</v>
      </c>
      <c r="P201" s="138"/>
    </row>
    <row r="202" spans="1:16">
      <c r="A202" s="743"/>
      <c r="B202" s="743"/>
      <c r="C202" s="743"/>
      <c r="D202" s="743"/>
      <c r="E202" s="743"/>
      <c r="F202" s="743"/>
      <c r="G202" s="743"/>
      <c r="H202" s="743"/>
      <c r="I202" s="743"/>
      <c r="J202" s="743"/>
      <c r="K202" s="743"/>
      <c r="L202" s="743"/>
      <c r="M202" s="743"/>
      <c r="N202" s="743"/>
      <c r="O202" s="743"/>
      <c r="P202" s="743"/>
    </row>
    <row r="203" spans="1:16" s="15" customFormat="1" ht="42.75" customHeight="1">
      <c r="A203" s="680" t="s">
        <v>1530</v>
      </c>
      <c r="B203" s="680"/>
      <c r="C203" s="680"/>
      <c r="D203" s="680"/>
      <c r="E203" s="680"/>
      <c r="F203" s="680"/>
      <c r="G203" s="680"/>
      <c r="H203" s="680"/>
      <c r="I203" s="680"/>
      <c r="J203" s="680"/>
      <c r="K203" s="680"/>
      <c r="L203" s="680"/>
      <c r="M203" s="680"/>
      <c r="N203" s="680"/>
      <c r="O203" s="680"/>
      <c r="P203" s="680"/>
    </row>
    <row r="204" spans="1:16" s="102" customFormat="1" ht="75.75" customHeight="1">
      <c r="A204" s="24">
        <v>1</v>
      </c>
      <c r="B204" s="24" t="s">
        <v>25</v>
      </c>
      <c r="C204" s="223" t="s">
        <v>1528</v>
      </c>
      <c r="D204" s="325" t="s">
        <v>1218</v>
      </c>
      <c r="E204" s="325" t="s">
        <v>788</v>
      </c>
      <c r="F204" s="418">
        <v>44036</v>
      </c>
      <c r="G204" s="418">
        <v>44400</v>
      </c>
      <c r="H204" s="176">
        <v>2869400</v>
      </c>
      <c r="I204" s="176">
        <v>2287757.2200000002</v>
      </c>
      <c r="J204" s="176">
        <f>+H204-I204</f>
        <v>581642.7799999998</v>
      </c>
      <c r="K204" s="176" t="s">
        <v>1529</v>
      </c>
      <c r="L204" s="176" t="s">
        <v>1529</v>
      </c>
      <c r="M204" s="176">
        <f>+J204</f>
        <v>581642.7799999998</v>
      </c>
      <c r="N204" s="176"/>
      <c r="O204" s="176"/>
      <c r="P204" s="25"/>
    </row>
    <row r="205" spans="1:16" s="11" customFormat="1" ht="42.75" customHeight="1">
      <c r="A205" s="763" t="s">
        <v>20</v>
      </c>
      <c r="B205" s="763"/>
      <c r="C205" s="763"/>
      <c r="D205" s="763"/>
      <c r="E205" s="763"/>
      <c r="F205" s="763"/>
      <c r="G205" s="763"/>
      <c r="H205" s="433">
        <f>SUM(H204)</f>
        <v>2869400</v>
      </c>
      <c r="I205" s="434">
        <f t="shared" ref="I205:O205" si="32">SUM(I204)</f>
        <v>2287757.2200000002</v>
      </c>
      <c r="J205" s="433">
        <f t="shared" si="32"/>
        <v>581642.7799999998</v>
      </c>
      <c r="K205" s="433">
        <f t="shared" si="32"/>
        <v>0</v>
      </c>
      <c r="L205" s="433">
        <f t="shared" si="32"/>
        <v>0</v>
      </c>
      <c r="M205" s="433">
        <f t="shared" si="32"/>
        <v>581642.7799999998</v>
      </c>
      <c r="N205" s="433">
        <f t="shared" si="32"/>
        <v>0</v>
      </c>
      <c r="O205" s="433">
        <f t="shared" si="32"/>
        <v>0</v>
      </c>
      <c r="P205" s="447"/>
    </row>
    <row r="206" spans="1:16">
      <c r="A206" s="743"/>
      <c r="B206" s="743"/>
      <c r="C206" s="743"/>
      <c r="D206" s="743"/>
      <c r="E206" s="743"/>
      <c r="F206" s="743"/>
      <c r="G206" s="743"/>
      <c r="H206" s="743"/>
      <c r="I206" s="743"/>
      <c r="J206" s="743"/>
      <c r="K206" s="743"/>
      <c r="L206" s="743"/>
      <c r="M206" s="743"/>
      <c r="N206" s="743"/>
      <c r="O206" s="743"/>
      <c r="P206" s="743"/>
    </row>
    <row r="207" spans="1:16" ht="56.25" customHeight="1">
      <c r="A207" s="680" t="s">
        <v>121</v>
      </c>
      <c r="B207" s="680"/>
      <c r="C207" s="680"/>
      <c r="D207" s="680"/>
      <c r="E207" s="680"/>
      <c r="F207" s="680"/>
      <c r="G207" s="680"/>
      <c r="H207" s="680"/>
      <c r="I207" s="680"/>
      <c r="J207" s="680"/>
      <c r="K207" s="680"/>
      <c r="L207" s="680"/>
      <c r="M207" s="680"/>
      <c r="N207" s="680"/>
      <c r="O207" s="680"/>
      <c r="P207" s="680"/>
    </row>
    <row r="208" spans="1:16" s="102" customFormat="1" ht="65.25" customHeight="1">
      <c r="A208" s="24">
        <v>1</v>
      </c>
      <c r="B208" s="24" t="s">
        <v>40</v>
      </c>
      <c r="C208" s="419" t="s">
        <v>773</v>
      </c>
      <c r="D208" s="158" t="s">
        <v>30</v>
      </c>
      <c r="E208" s="420" t="s">
        <v>41</v>
      </c>
      <c r="F208" s="421">
        <v>44112</v>
      </c>
      <c r="G208" s="421">
        <v>44552</v>
      </c>
      <c r="H208" s="176">
        <v>28274699.800000001</v>
      </c>
      <c r="I208" s="176">
        <v>3802016.69</v>
      </c>
      <c r="J208" s="176">
        <v>24472683.109999999</v>
      </c>
      <c r="K208" s="176">
        <v>455242.45</v>
      </c>
      <c r="L208" s="176">
        <v>5286490.43</v>
      </c>
      <c r="M208" s="176">
        <v>7000000</v>
      </c>
      <c r="N208" s="176">
        <v>8500000</v>
      </c>
      <c r="O208" s="176">
        <v>3686192</v>
      </c>
      <c r="P208" s="25"/>
    </row>
    <row r="209" spans="1:16" s="102" customFormat="1" ht="65.25" customHeight="1">
      <c r="A209" s="24">
        <v>2</v>
      </c>
      <c r="B209" s="24" t="s">
        <v>40</v>
      </c>
      <c r="C209" s="419" t="s">
        <v>774</v>
      </c>
      <c r="D209" s="158" t="s">
        <v>30</v>
      </c>
      <c r="E209" s="422" t="s">
        <v>775</v>
      </c>
      <c r="F209" s="423">
        <v>44075</v>
      </c>
      <c r="G209" s="421">
        <v>44435</v>
      </c>
      <c r="H209" s="176">
        <v>25914440.620000001</v>
      </c>
      <c r="I209" s="176">
        <v>10064693.83</v>
      </c>
      <c r="J209" s="176">
        <v>15849746.869999999</v>
      </c>
      <c r="K209" s="176"/>
      <c r="L209" s="176">
        <v>4760975.87</v>
      </c>
      <c r="M209" s="176">
        <v>5000000</v>
      </c>
      <c r="N209" s="176">
        <v>6088771</v>
      </c>
      <c r="O209" s="176"/>
      <c r="P209" s="25"/>
    </row>
    <row r="210" spans="1:16" s="11" customFormat="1" ht="49.5" customHeight="1">
      <c r="A210" s="742" t="s">
        <v>20</v>
      </c>
      <c r="B210" s="742"/>
      <c r="C210" s="742"/>
      <c r="D210" s="742"/>
      <c r="E210" s="742"/>
      <c r="F210" s="742"/>
      <c r="G210" s="742"/>
      <c r="H210" s="433">
        <f>SUM(H208:H209)</f>
        <v>54189140.420000002</v>
      </c>
      <c r="I210" s="434">
        <f t="shared" ref="I210:O210" si="33">SUM(I208:I209)</f>
        <v>13866710.52</v>
      </c>
      <c r="J210" s="433">
        <f t="shared" si="33"/>
        <v>40322429.979999997</v>
      </c>
      <c r="K210" s="433">
        <f t="shared" si="33"/>
        <v>455242.45</v>
      </c>
      <c r="L210" s="433">
        <f t="shared" si="33"/>
        <v>10047466.300000001</v>
      </c>
      <c r="M210" s="433">
        <f t="shared" si="33"/>
        <v>12000000</v>
      </c>
      <c r="N210" s="433">
        <f t="shared" si="33"/>
        <v>14588771</v>
      </c>
      <c r="O210" s="433">
        <f t="shared" si="33"/>
        <v>3686192</v>
      </c>
      <c r="P210" s="138"/>
    </row>
    <row r="211" spans="1:16">
      <c r="A211" s="743"/>
      <c r="B211" s="743"/>
      <c r="C211" s="743"/>
      <c r="D211" s="743"/>
      <c r="E211" s="743"/>
      <c r="F211" s="743"/>
      <c r="G211" s="743"/>
      <c r="H211" s="743"/>
      <c r="I211" s="743"/>
      <c r="J211" s="743"/>
      <c r="K211" s="743"/>
      <c r="L211" s="743"/>
      <c r="M211" s="743"/>
      <c r="N211" s="743"/>
      <c r="O211" s="743"/>
      <c r="P211" s="743"/>
    </row>
    <row r="212" spans="1:16" ht="54" customHeight="1">
      <c r="A212" s="680" t="s">
        <v>1599</v>
      </c>
      <c r="B212" s="680"/>
      <c r="C212" s="680"/>
      <c r="D212" s="680"/>
      <c r="E212" s="680"/>
      <c r="F212" s="680"/>
      <c r="G212" s="680"/>
      <c r="H212" s="680"/>
      <c r="I212" s="680"/>
      <c r="J212" s="680"/>
      <c r="K212" s="680"/>
      <c r="L212" s="680"/>
      <c r="M212" s="680"/>
      <c r="N212" s="680"/>
      <c r="O212" s="680"/>
      <c r="P212" s="680"/>
    </row>
    <row r="213" spans="1:16" s="102" customFormat="1" ht="30">
      <c r="A213" s="24">
        <v>1</v>
      </c>
      <c r="B213" s="171" t="s">
        <v>25</v>
      </c>
      <c r="C213" s="458" t="s">
        <v>1561</v>
      </c>
      <c r="D213" s="24" t="s">
        <v>48</v>
      </c>
      <c r="E213" s="305" t="s">
        <v>117</v>
      </c>
      <c r="F213" s="307">
        <v>42706</v>
      </c>
      <c r="G213" s="307">
        <v>43446</v>
      </c>
      <c r="H213" s="176">
        <f>(16200000+1000588.67+5897329.1)*1.18</f>
        <v>27255542.968600001</v>
      </c>
      <c r="I213" s="176">
        <f>22553720.36*1.18</f>
        <v>26613390.024799999</v>
      </c>
      <c r="J213" s="176">
        <f>H213-I213</f>
        <v>642152.94380000234</v>
      </c>
      <c r="K213" s="176">
        <v>0</v>
      </c>
      <c r="L213" s="176">
        <v>150000</v>
      </c>
      <c r="M213" s="176">
        <v>150000</v>
      </c>
      <c r="N213" s="176">
        <v>150000</v>
      </c>
      <c r="O213" s="176">
        <v>150000</v>
      </c>
      <c r="P213" s="25"/>
    </row>
    <row r="214" spans="1:16" s="102" customFormat="1" ht="30">
      <c r="A214" s="24">
        <v>2</v>
      </c>
      <c r="B214" s="171" t="s">
        <v>25</v>
      </c>
      <c r="C214" s="458" t="s">
        <v>1562</v>
      </c>
      <c r="D214" s="24" t="s">
        <v>48</v>
      </c>
      <c r="E214" s="305" t="s">
        <v>117</v>
      </c>
      <c r="F214" s="307">
        <v>42802</v>
      </c>
      <c r="G214" s="307">
        <v>43341</v>
      </c>
      <c r="H214" s="176">
        <f>(13400000+867913.16+2218951.53)*1.18</f>
        <v>19454500.334199999</v>
      </c>
      <c r="I214" s="176">
        <f>16341436.68*1.18</f>
        <v>19282895.282399997</v>
      </c>
      <c r="J214" s="176">
        <f t="shared" ref="J214:J241" si="34">H214-I214</f>
        <v>171605.05180000141</v>
      </c>
      <c r="K214" s="176">
        <v>0</v>
      </c>
      <c r="L214" s="176">
        <v>42750</v>
      </c>
      <c r="M214" s="176">
        <v>42750</v>
      </c>
      <c r="N214" s="176">
        <v>42750</v>
      </c>
      <c r="O214" s="176">
        <v>42750</v>
      </c>
      <c r="P214" s="25"/>
    </row>
    <row r="215" spans="1:16" s="102" customFormat="1" ht="15.75">
      <c r="A215" s="24">
        <v>3</v>
      </c>
      <c r="B215" s="171" t="s">
        <v>25</v>
      </c>
      <c r="C215" s="306" t="s">
        <v>1563</v>
      </c>
      <c r="D215" s="24" t="s">
        <v>48</v>
      </c>
      <c r="E215" s="305" t="s">
        <v>117</v>
      </c>
      <c r="F215" s="307">
        <v>43272</v>
      </c>
      <c r="G215" s="307">
        <v>43874</v>
      </c>
      <c r="H215" s="176">
        <f>(21590000+4317935.55+4866106.15)*1.18</f>
        <v>36313369.206</v>
      </c>
      <c r="I215" s="176">
        <f>30742124.32*1.18</f>
        <v>36275706.6976</v>
      </c>
      <c r="J215" s="176">
        <f t="shared" si="34"/>
        <v>37662.508400000632</v>
      </c>
      <c r="K215" s="176">
        <v>0</v>
      </c>
      <c r="L215" s="176">
        <v>9250</v>
      </c>
      <c r="M215" s="176">
        <v>9250</v>
      </c>
      <c r="N215" s="176">
        <v>9250</v>
      </c>
      <c r="O215" s="176">
        <v>9250</v>
      </c>
      <c r="P215" s="25"/>
    </row>
    <row r="216" spans="1:16" s="102" customFormat="1" ht="60">
      <c r="A216" s="24">
        <v>4</v>
      </c>
      <c r="B216" s="171" t="s">
        <v>40</v>
      </c>
      <c r="C216" s="306" t="s">
        <v>1564</v>
      </c>
      <c r="D216" s="24" t="s">
        <v>48</v>
      </c>
      <c r="E216" s="305" t="s">
        <v>1595</v>
      </c>
      <c r="F216" s="307">
        <v>43880</v>
      </c>
      <c r="G216" s="307">
        <v>44179</v>
      </c>
      <c r="H216" s="176">
        <f>(2812413.22+562109.78+123313.83)*1.18</f>
        <v>4127447.4594000001</v>
      </c>
      <c r="I216" s="176">
        <f>2753402.91*1.18</f>
        <v>3249015.4338000002</v>
      </c>
      <c r="J216" s="176">
        <f t="shared" si="34"/>
        <v>878432.02559999982</v>
      </c>
      <c r="K216" s="176">
        <f>(108197.29*1.18)+J216</f>
        <v>1006104.8277999999</v>
      </c>
      <c r="L216" s="176">
        <f>792951.78*1.18</f>
        <v>935683.1004</v>
      </c>
      <c r="M216" s="176">
        <v>0</v>
      </c>
      <c r="N216" s="176">
        <v>0</v>
      </c>
      <c r="O216" s="176">
        <v>0</v>
      </c>
      <c r="P216" s="25"/>
    </row>
    <row r="217" spans="1:16" s="102" customFormat="1" ht="30">
      <c r="A217" s="24">
        <v>5</v>
      </c>
      <c r="B217" s="171" t="s">
        <v>40</v>
      </c>
      <c r="C217" s="306" t="s">
        <v>1565</v>
      </c>
      <c r="D217" s="24" t="s">
        <v>48</v>
      </c>
      <c r="E217" s="305" t="s">
        <v>1595</v>
      </c>
      <c r="F217" s="307">
        <v>43881</v>
      </c>
      <c r="G217" s="307">
        <v>44180</v>
      </c>
      <c r="H217" s="176">
        <f>(2433048)*1.18</f>
        <v>2870996.6399999997</v>
      </c>
      <c r="I217" s="176">
        <f>1651506.19*1.18</f>
        <v>1948777.3041999999</v>
      </c>
      <c r="J217" s="176">
        <f t="shared" si="34"/>
        <v>922219.33579999977</v>
      </c>
      <c r="K217" s="176">
        <f>(108529.83*1.18)+J217</f>
        <v>1050284.5351999998</v>
      </c>
      <c r="L217" s="176">
        <f>537475.42*1.18</f>
        <v>634220.99560000002</v>
      </c>
      <c r="M217" s="176">
        <v>71999</v>
      </c>
      <c r="N217" s="176">
        <v>71999</v>
      </c>
      <c r="O217" s="176">
        <v>71999</v>
      </c>
      <c r="P217" s="25"/>
    </row>
    <row r="218" spans="1:16" s="102" customFormat="1" ht="60">
      <c r="A218" s="24">
        <v>6</v>
      </c>
      <c r="B218" s="171" t="s">
        <v>40</v>
      </c>
      <c r="C218" s="306" t="s">
        <v>1566</v>
      </c>
      <c r="D218" s="24" t="s">
        <v>48</v>
      </c>
      <c r="E218" s="305" t="s">
        <v>1595</v>
      </c>
      <c r="F218" s="307">
        <v>43880</v>
      </c>
      <c r="G218" s="307">
        <v>44179</v>
      </c>
      <c r="H218" s="176">
        <f>(2528693.41+503916.47+170179.77)*1.18</f>
        <v>3779291.7869999995</v>
      </c>
      <c r="I218" s="176">
        <f>3198101.28*1.18</f>
        <v>3773759.5103999996</v>
      </c>
      <c r="J218" s="176">
        <f t="shared" si="34"/>
        <v>5532.2765999999829</v>
      </c>
      <c r="K218" s="176">
        <v>0</v>
      </c>
      <c r="L218" s="176">
        <v>1383</v>
      </c>
      <c r="M218" s="176">
        <v>1383</v>
      </c>
      <c r="N218" s="176">
        <v>1383</v>
      </c>
      <c r="O218" s="176">
        <v>1383</v>
      </c>
      <c r="P218" s="25"/>
    </row>
    <row r="219" spans="1:16" s="102" customFormat="1" ht="30">
      <c r="A219" s="24">
        <v>7</v>
      </c>
      <c r="B219" s="171" t="s">
        <v>25</v>
      </c>
      <c r="C219" s="306" t="s">
        <v>1567</v>
      </c>
      <c r="D219" s="24" t="s">
        <v>48</v>
      </c>
      <c r="E219" s="305" t="s">
        <v>117</v>
      </c>
      <c r="F219" s="307">
        <v>43881</v>
      </c>
      <c r="G219" s="307">
        <v>44180</v>
      </c>
      <c r="H219" s="176">
        <f>(9790810.43+1957568.74+291604.37)*1.18</f>
        <v>14207180.577199997</v>
      </c>
      <c r="I219" s="176">
        <f>12006332.68*1.18</f>
        <v>14167472.562399998</v>
      </c>
      <c r="J219" s="176">
        <f t="shared" si="34"/>
        <v>39708.014799999073</v>
      </c>
      <c r="K219" s="176">
        <f>(23015.07*1.18)+J219</f>
        <v>66865.797399999079</v>
      </c>
      <c r="L219" s="176">
        <f>56517.86*1.18</f>
        <v>66691.074800000002</v>
      </c>
      <c r="M219" s="176">
        <v>0</v>
      </c>
      <c r="N219" s="176">
        <v>0</v>
      </c>
      <c r="O219" s="176">
        <v>0</v>
      </c>
      <c r="P219" s="25"/>
    </row>
    <row r="220" spans="1:16" s="102" customFormat="1" ht="30">
      <c r="A220" s="24">
        <v>8</v>
      </c>
      <c r="B220" s="171" t="s">
        <v>25</v>
      </c>
      <c r="C220" s="306" t="s">
        <v>1568</v>
      </c>
      <c r="D220" s="24" t="s">
        <v>48</v>
      </c>
      <c r="E220" s="305" t="s">
        <v>117</v>
      </c>
      <c r="F220" s="307">
        <v>43887</v>
      </c>
      <c r="G220" s="307">
        <v>44187</v>
      </c>
      <c r="H220" s="176">
        <f>(6525662+1259452.77+362740.6)*1.18</f>
        <v>9614469.3365999982</v>
      </c>
      <c r="I220" s="176">
        <f>7950456.19*1.18</f>
        <v>9381538.3041999992</v>
      </c>
      <c r="J220" s="176">
        <f t="shared" si="34"/>
        <v>232931.03239999898</v>
      </c>
      <c r="K220" s="176">
        <v>0</v>
      </c>
      <c r="L220" s="176">
        <v>55000</v>
      </c>
      <c r="M220" s="176">
        <v>55000</v>
      </c>
      <c r="N220" s="176">
        <v>55000</v>
      </c>
      <c r="O220" s="176">
        <v>55000</v>
      </c>
      <c r="P220" s="25"/>
    </row>
    <row r="221" spans="1:16" s="102" customFormat="1" ht="60">
      <c r="A221" s="24">
        <v>9</v>
      </c>
      <c r="B221" s="171" t="s">
        <v>40</v>
      </c>
      <c r="C221" s="306" t="s">
        <v>1569</v>
      </c>
      <c r="D221" s="24" t="s">
        <v>48</v>
      </c>
      <c r="E221" s="305" t="s">
        <v>1595</v>
      </c>
      <c r="F221" s="307">
        <v>43895</v>
      </c>
      <c r="G221" s="307">
        <v>44254</v>
      </c>
      <c r="H221" s="176">
        <f>(4286813.13+857349.02+197421.03)*1.18</f>
        <v>6303068.1524</v>
      </c>
      <c r="I221" s="176">
        <f>4306230.34*1.18</f>
        <v>5081351.8011999996</v>
      </c>
      <c r="J221" s="176">
        <f t="shared" si="34"/>
        <v>1221716.3512000004</v>
      </c>
      <c r="K221" s="176">
        <f>(151359.24*1.18)+J221</f>
        <v>1400320.2544000004</v>
      </c>
      <c r="L221" s="176">
        <f>1186367.68*1.18</f>
        <v>1399913.8623999998</v>
      </c>
      <c r="M221" s="176">
        <v>0</v>
      </c>
      <c r="N221" s="176">
        <v>0</v>
      </c>
      <c r="O221" s="176">
        <v>0</v>
      </c>
      <c r="P221" s="25"/>
    </row>
    <row r="222" spans="1:16" s="102" customFormat="1" ht="60">
      <c r="A222" s="24">
        <v>10</v>
      </c>
      <c r="B222" s="171" t="s">
        <v>40</v>
      </c>
      <c r="C222" s="306" t="s">
        <v>1570</v>
      </c>
      <c r="D222" s="24" t="s">
        <v>48</v>
      </c>
      <c r="E222" s="305" t="s">
        <v>1595</v>
      </c>
      <c r="F222" s="307">
        <v>43894</v>
      </c>
      <c r="G222" s="307">
        <v>44193</v>
      </c>
      <c r="H222" s="176">
        <f>(2889747.52+577660.53)*1.18</f>
        <v>4091541.4989999994</v>
      </c>
      <c r="I222" s="176">
        <f>3433993.64*1.18</f>
        <v>4052112.4951999998</v>
      </c>
      <c r="J222" s="176">
        <f t="shared" si="34"/>
        <v>39429.003799999598</v>
      </c>
      <c r="K222" s="176">
        <f>(187033.32*1.18)+J222</f>
        <v>260128.32139999961</v>
      </c>
      <c r="L222" s="176">
        <f>220433.12*1.18</f>
        <v>260111.08159999998</v>
      </c>
      <c r="M222" s="176">
        <v>0</v>
      </c>
      <c r="N222" s="176">
        <v>0</v>
      </c>
      <c r="O222" s="176">
        <v>0</v>
      </c>
      <c r="P222" s="25"/>
    </row>
    <row r="223" spans="1:16" s="102" customFormat="1" ht="45">
      <c r="A223" s="24">
        <v>11</v>
      </c>
      <c r="B223" s="171" t="s">
        <v>40</v>
      </c>
      <c r="C223" s="306" t="s">
        <v>1571</v>
      </c>
      <c r="D223" s="24" t="s">
        <v>48</v>
      </c>
      <c r="E223" s="305" t="s">
        <v>1595</v>
      </c>
      <c r="F223" s="307">
        <v>43930</v>
      </c>
      <c r="G223" s="307">
        <v>43864</v>
      </c>
      <c r="H223" s="176">
        <f>(2743165.93+548072.02+152640.78)*1.18</f>
        <v>4063776.9013999999</v>
      </c>
      <c r="I223" s="176">
        <f>2428256.69*1.18</f>
        <v>2865342.8942</v>
      </c>
      <c r="J223" s="176">
        <f t="shared" si="34"/>
        <v>1198434.0071999999</v>
      </c>
      <c r="K223" s="176">
        <v>0</v>
      </c>
      <c r="L223" s="176">
        <v>299608</v>
      </c>
      <c r="M223" s="176">
        <v>299608</v>
      </c>
      <c r="N223" s="176">
        <v>299608</v>
      </c>
      <c r="O223" s="176">
        <v>299608</v>
      </c>
      <c r="P223" s="25"/>
    </row>
    <row r="224" spans="1:16" s="102" customFormat="1" ht="45">
      <c r="A224" s="24">
        <v>12</v>
      </c>
      <c r="B224" s="171" t="s">
        <v>40</v>
      </c>
      <c r="C224" s="306" t="s">
        <v>1572</v>
      </c>
      <c r="D224" s="24" t="s">
        <v>48</v>
      </c>
      <c r="E224" s="305" t="s">
        <v>1595</v>
      </c>
      <c r="F224" s="307">
        <v>43924</v>
      </c>
      <c r="G224" s="307">
        <v>44193</v>
      </c>
      <c r="H224" s="176">
        <f>(238970+46403)*1.18</f>
        <v>336740.13999999996</v>
      </c>
      <c r="I224" s="176">
        <f>284228*1.18</f>
        <v>335389.03999999998</v>
      </c>
      <c r="J224" s="176">
        <f t="shared" si="34"/>
        <v>1351.0999999999767</v>
      </c>
      <c r="K224" s="176">
        <v>0</v>
      </c>
      <c r="L224" s="176">
        <v>1351</v>
      </c>
      <c r="M224" s="176">
        <v>0</v>
      </c>
      <c r="N224" s="176">
        <v>0</v>
      </c>
      <c r="O224" s="176">
        <v>0</v>
      </c>
      <c r="P224" s="25"/>
    </row>
    <row r="225" spans="1:16" s="102" customFormat="1" ht="45">
      <c r="A225" s="24">
        <v>13</v>
      </c>
      <c r="B225" s="171" t="s">
        <v>40</v>
      </c>
      <c r="C225" s="306" t="s">
        <v>1573</v>
      </c>
      <c r="D225" s="24" t="s">
        <v>48</v>
      </c>
      <c r="E225" s="305" t="s">
        <v>1595</v>
      </c>
      <c r="F225" s="307">
        <v>43930</v>
      </c>
      <c r="G225" s="307">
        <v>44170</v>
      </c>
      <c r="H225" s="176">
        <f>(1198019.86+239471+89344.87)*1.18</f>
        <v>1801666.1613999999</v>
      </c>
      <c r="I225" s="176">
        <f>1516907.89*1.18</f>
        <v>1789951.3101999997</v>
      </c>
      <c r="J225" s="176">
        <f t="shared" si="34"/>
        <v>11714.85120000015</v>
      </c>
      <c r="K225" s="176">
        <v>0</v>
      </c>
      <c r="L225" s="176">
        <v>11714</v>
      </c>
      <c r="M225" s="176">
        <v>0</v>
      </c>
      <c r="N225" s="176">
        <v>0</v>
      </c>
      <c r="O225" s="176">
        <v>0</v>
      </c>
      <c r="P225" s="25"/>
    </row>
    <row r="226" spans="1:16" s="102" customFormat="1" ht="60">
      <c r="A226" s="24">
        <v>14</v>
      </c>
      <c r="B226" s="171" t="s">
        <v>25</v>
      </c>
      <c r="C226" s="306" t="s">
        <v>1574</v>
      </c>
      <c r="D226" s="24" t="s">
        <v>48</v>
      </c>
      <c r="E226" s="305" t="s">
        <v>117</v>
      </c>
      <c r="F226" s="307">
        <v>44006</v>
      </c>
      <c r="G226" s="307">
        <v>44275</v>
      </c>
      <c r="H226" s="176">
        <f>(9660000+142050.33)*1.18</f>
        <v>11566419.3894</v>
      </c>
      <c r="I226" s="176">
        <f>2574286.56*1.18</f>
        <v>3037658.1407999997</v>
      </c>
      <c r="J226" s="176">
        <f t="shared" si="34"/>
        <v>8528761.2486000005</v>
      </c>
      <c r="K226" s="176">
        <v>0</v>
      </c>
      <c r="L226" s="176">
        <v>2132190</v>
      </c>
      <c r="M226" s="176">
        <v>2132190</v>
      </c>
      <c r="N226" s="176">
        <v>2132190</v>
      </c>
      <c r="O226" s="176">
        <v>2132190</v>
      </c>
      <c r="P226" s="25"/>
    </row>
    <row r="227" spans="1:16" s="102" customFormat="1" ht="30">
      <c r="A227" s="24">
        <v>15</v>
      </c>
      <c r="B227" s="171" t="s">
        <v>25</v>
      </c>
      <c r="C227" s="306" t="s">
        <v>1575</v>
      </c>
      <c r="D227" s="24" t="s">
        <v>48</v>
      </c>
      <c r="E227" s="305" t="s">
        <v>117</v>
      </c>
      <c r="F227" s="307">
        <v>44034</v>
      </c>
      <c r="G227" s="307">
        <v>44533</v>
      </c>
      <c r="H227" s="176">
        <f>(10349907+91855.01)*1.18</f>
        <v>12321279.171799999</v>
      </c>
      <c r="I227" s="176">
        <f>1783372.92*1.18</f>
        <v>2104380.0455999998</v>
      </c>
      <c r="J227" s="176">
        <f t="shared" si="34"/>
        <v>10216899.126199998</v>
      </c>
      <c r="K227" s="176">
        <f>(354274.9*1.18)+J227</f>
        <v>10634943.508199997</v>
      </c>
      <c r="L227" s="176">
        <f>1451396.75*1.18</f>
        <v>1712648.1649999998</v>
      </c>
      <c r="M227" s="176">
        <f>988481.01*1.18</f>
        <v>1166407.5918000001</v>
      </c>
      <c r="N227" s="176">
        <v>0</v>
      </c>
      <c r="O227" s="176">
        <v>0</v>
      </c>
      <c r="P227" s="25"/>
    </row>
    <row r="228" spans="1:16" s="102" customFormat="1" ht="15.75">
      <c r="A228" s="24">
        <v>16</v>
      </c>
      <c r="B228" s="171" t="s">
        <v>25</v>
      </c>
      <c r="C228" s="306" t="s">
        <v>1576</v>
      </c>
      <c r="D228" s="24" t="s">
        <v>48</v>
      </c>
      <c r="E228" s="305" t="s">
        <v>117</v>
      </c>
      <c r="F228" s="307">
        <v>44089</v>
      </c>
      <c r="G228" s="307">
        <v>44453</v>
      </c>
      <c r="H228" s="176">
        <f>(19680484+199022.74)*1.18</f>
        <v>23457817.953199998</v>
      </c>
      <c r="I228" s="176">
        <f>8314751.3*1.18</f>
        <v>9811406.534</v>
      </c>
      <c r="J228" s="176">
        <f t="shared" si="34"/>
        <v>13646411.419199998</v>
      </c>
      <c r="K228" s="176">
        <f>(487896.61*1.18)+J228</f>
        <v>14222129.418999998</v>
      </c>
      <c r="L228" s="176">
        <v>0</v>
      </c>
      <c r="M228" s="176">
        <f>4557190.85*1.18</f>
        <v>5377485.2029999988</v>
      </c>
      <c r="N228" s="176">
        <v>0</v>
      </c>
      <c r="O228" s="176">
        <v>0</v>
      </c>
      <c r="P228" s="25"/>
    </row>
    <row r="229" spans="1:16" s="102" customFormat="1" ht="15.75">
      <c r="A229" s="24">
        <v>17</v>
      </c>
      <c r="B229" s="171" t="s">
        <v>25</v>
      </c>
      <c r="C229" s="306" t="s">
        <v>1577</v>
      </c>
      <c r="D229" s="24" t="s">
        <v>48</v>
      </c>
      <c r="E229" s="305" t="s">
        <v>117</v>
      </c>
      <c r="F229" s="307">
        <v>44130</v>
      </c>
      <c r="G229" s="307">
        <v>44495</v>
      </c>
      <c r="H229" s="176">
        <f>(6538302.2+182499.91)*1.18</f>
        <v>7930546.4897999996</v>
      </c>
      <c r="I229" s="176">
        <f>3864096.79*1.18</f>
        <v>4559634.2122</v>
      </c>
      <c r="J229" s="176">
        <f>H229-I229</f>
        <v>3370912.2775999997</v>
      </c>
      <c r="K229" s="176">
        <f>(64688.04*1.18)+J229</f>
        <v>3447244.1647999994</v>
      </c>
      <c r="L229" s="176">
        <f>654174.98*1.18</f>
        <v>771926.47639999993</v>
      </c>
      <c r="M229" s="176">
        <v>0</v>
      </c>
      <c r="N229" s="176">
        <v>0</v>
      </c>
      <c r="O229" s="176">
        <v>0</v>
      </c>
      <c r="P229" s="25"/>
    </row>
    <row r="230" spans="1:16" s="102" customFormat="1" ht="30">
      <c r="A230" s="24">
        <v>18</v>
      </c>
      <c r="B230" s="171" t="s">
        <v>40</v>
      </c>
      <c r="C230" s="306" t="s">
        <v>1578</v>
      </c>
      <c r="D230" s="24" t="s">
        <v>48</v>
      </c>
      <c r="E230" s="305" t="s">
        <v>1595</v>
      </c>
      <c r="F230" s="307">
        <v>44166</v>
      </c>
      <c r="G230" s="307">
        <v>44530</v>
      </c>
      <c r="H230" s="176">
        <f>(13200000)*1.18</f>
        <v>15576000</v>
      </c>
      <c r="I230" s="176">
        <v>0</v>
      </c>
      <c r="J230" s="176">
        <f t="shared" si="34"/>
        <v>15576000</v>
      </c>
      <c r="K230" s="176">
        <v>0</v>
      </c>
      <c r="L230" s="176">
        <v>3894000</v>
      </c>
      <c r="M230" s="176">
        <v>3894000</v>
      </c>
      <c r="N230" s="176">
        <v>3894000</v>
      </c>
      <c r="O230" s="176">
        <v>3894000</v>
      </c>
      <c r="P230" s="25"/>
    </row>
    <row r="231" spans="1:16" s="102" customFormat="1" ht="45">
      <c r="A231" s="24">
        <v>19</v>
      </c>
      <c r="B231" s="171" t="s">
        <v>40</v>
      </c>
      <c r="C231" s="306" t="s">
        <v>1579</v>
      </c>
      <c r="D231" s="24" t="s">
        <v>48</v>
      </c>
      <c r="E231" s="305" t="s">
        <v>1595</v>
      </c>
      <c r="F231" s="307">
        <v>44195</v>
      </c>
      <c r="G231" s="307">
        <v>44559</v>
      </c>
      <c r="H231" s="176">
        <f>(3537667.21)*1.18</f>
        <v>4174447.3077999996</v>
      </c>
      <c r="I231" s="176">
        <v>0</v>
      </c>
      <c r="J231" s="176">
        <f t="shared" si="34"/>
        <v>4174447.3077999996</v>
      </c>
      <c r="K231" s="176">
        <f>(18537.54*1.18)+J231</f>
        <v>4196321.6049999995</v>
      </c>
      <c r="L231" s="176">
        <f>510019.06*1.18</f>
        <v>601822.49079999991</v>
      </c>
      <c r="M231" s="176">
        <v>0</v>
      </c>
      <c r="N231" s="176">
        <v>0</v>
      </c>
      <c r="O231" s="176">
        <v>0</v>
      </c>
      <c r="P231" s="25"/>
    </row>
    <row r="232" spans="1:16" s="102" customFormat="1" ht="45">
      <c r="A232" s="24">
        <v>20</v>
      </c>
      <c r="B232" s="171" t="s">
        <v>40</v>
      </c>
      <c r="C232" s="306" t="s">
        <v>1580</v>
      </c>
      <c r="D232" s="24" t="s">
        <v>48</v>
      </c>
      <c r="E232" s="307" t="s">
        <v>1595</v>
      </c>
      <c r="F232" s="307">
        <v>44196</v>
      </c>
      <c r="G232" s="307">
        <v>44560</v>
      </c>
      <c r="H232" s="176">
        <f>(3636170.02)*1.18</f>
        <v>4290680.6235999996</v>
      </c>
      <c r="I232" s="176">
        <v>0</v>
      </c>
      <c r="J232" s="176">
        <f t="shared" si="34"/>
        <v>4290680.6235999996</v>
      </c>
      <c r="K232" s="176">
        <v>0</v>
      </c>
      <c r="L232" s="176">
        <v>1072500</v>
      </c>
      <c r="M232" s="176">
        <v>1072500</v>
      </c>
      <c r="N232" s="176">
        <v>1072500</v>
      </c>
      <c r="O232" s="176">
        <v>1072500</v>
      </c>
      <c r="P232" s="25"/>
    </row>
    <row r="233" spans="1:16" s="102" customFormat="1" ht="45">
      <c r="A233" s="24">
        <v>21</v>
      </c>
      <c r="B233" s="171" t="s">
        <v>40</v>
      </c>
      <c r="C233" s="306" t="s">
        <v>1581</v>
      </c>
      <c r="D233" s="24" t="s">
        <v>48</v>
      </c>
      <c r="E233" s="307" t="s">
        <v>1595</v>
      </c>
      <c r="F233" s="307">
        <v>44203</v>
      </c>
      <c r="G233" s="307">
        <v>44567</v>
      </c>
      <c r="H233" s="176">
        <f>(3436207.66)*1.18</f>
        <v>4054725.0387999997</v>
      </c>
      <c r="I233" s="176">
        <v>0</v>
      </c>
      <c r="J233" s="176">
        <f t="shared" si="34"/>
        <v>4054725.0387999997</v>
      </c>
      <c r="K233" s="176">
        <v>0</v>
      </c>
      <c r="L233" s="176">
        <v>1013681</v>
      </c>
      <c r="M233" s="176">
        <v>1013681</v>
      </c>
      <c r="N233" s="176">
        <v>1013681</v>
      </c>
      <c r="O233" s="176">
        <v>1013681</v>
      </c>
      <c r="P233" s="25"/>
    </row>
    <row r="234" spans="1:16" s="102" customFormat="1" ht="60">
      <c r="A234" s="24">
        <v>22</v>
      </c>
      <c r="B234" s="171" t="s">
        <v>40</v>
      </c>
      <c r="C234" s="306" t="s">
        <v>1582</v>
      </c>
      <c r="D234" s="24" t="s">
        <v>48</v>
      </c>
      <c r="E234" s="307" t="s">
        <v>1595</v>
      </c>
      <c r="F234" s="307">
        <v>44210</v>
      </c>
      <c r="G234" s="307">
        <v>44574</v>
      </c>
      <c r="H234" s="176">
        <f>(4136017.4)*1.18</f>
        <v>4880500.5319999997</v>
      </c>
      <c r="I234" s="176">
        <v>0</v>
      </c>
      <c r="J234" s="176">
        <f t="shared" si="34"/>
        <v>4880500.5319999997</v>
      </c>
      <c r="K234" s="176">
        <f>(108557.16*1.18)+J234</f>
        <v>5008597.9808</v>
      </c>
      <c r="L234" s="176">
        <f>1558393.62*1.18</f>
        <v>1838904.4716</v>
      </c>
      <c r="M234" s="176">
        <f>1016816.79*1.18</f>
        <v>1199843.8122</v>
      </c>
      <c r="N234" s="176">
        <v>0</v>
      </c>
      <c r="O234" s="176">
        <v>0</v>
      </c>
      <c r="P234" s="25"/>
    </row>
    <row r="235" spans="1:16" s="102" customFormat="1" ht="45">
      <c r="A235" s="24">
        <v>23</v>
      </c>
      <c r="B235" s="171" t="s">
        <v>40</v>
      </c>
      <c r="C235" s="306" t="s">
        <v>1583</v>
      </c>
      <c r="D235" s="24" t="s">
        <v>48</v>
      </c>
      <c r="E235" s="307" t="s">
        <v>1595</v>
      </c>
      <c r="F235" s="307">
        <v>44208</v>
      </c>
      <c r="G235" s="307">
        <v>44572</v>
      </c>
      <c r="H235" s="176">
        <f>(2447952.06)*1.18</f>
        <v>2888583.4307999997</v>
      </c>
      <c r="I235" s="176">
        <v>0</v>
      </c>
      <c r="J235" s="176">
        <f t="shared" si="34"/>
        <v>2888583.4307999997</v>
      </c>
      <c r="K235" s="176">
        <v>0</v>
      </c>
      <c r="L235" s="176">
        <f>834383.79*1.18</f>
        <v>984572.87219999998</v>
      </c>
      <c r="M235" s="176">
        <f>614962.32*1.18</f>
        <v>725655.53759999992</v>
      </c>
      <c r="N235" s="176">
        <v>0</v>
      </c>
      <c r="O235" s="176">
        <v>0</v>
      </c>
      <c r="P235" s="25"/>
    </row>
    <row r="236" spans="1:16" s="102" customFormat="1" ht="45">
      <c r="A236" s="24">
        <v>24</v>
      </c>
      <c r="B236" s="171" t="s">
        <v>40</v>
      </c>
      <c r="C236" s="306" t="s">
        <v>1584</v>
      </c>
      <c r="D236" s="24" t="s">
        <v>48</v>
      </c>
      <c r="E236" s="307" t="s">
        <v>1595</v>
      </c>
      <c r="F236" s="307">
        <v>44217</v>
      </c>
      <c r="G236" s="307">
        <v>44581</v>
      </c>
      <c r="H236" s="176">
        <f>(3641000)*1.18</f>
        <v>4296380</v>
      </c>
      <c r="I236" s="176">
        <v>0</v>
      </c>
      <c r="J236" s="176">
        <f t="shared" si="34"/>
        <v>4296380</v>
      </c>
      <c r="K236" s="176">
        <v>0</v>
      </c>
      <c r="L236" s="176">
        <v>1074095</v>
      </c>
      <c r="M236" s="176">
        <v>1074095</v>
      </c>
      <c r="N236" s="176">
        <v>1074095</v>
      </c>
      <c r="O236" s="176">
        <v>1074095</v>
      </c>
      <c r="P236" s="25"/>
    </row>
    <row r="237" spans="1:16" s="102" customFormat="1" ht="45">
      <c r="A237" s="24">
        <v>25</v>
      </c>
      <c r="B237" s="171" t="s">
        <v>25</v>
      </c>
      <c r="C237" s="306" t="s">
        <v>1585</v>
      </c>
      <c r="D237" s="24" t="s">
        <v>48</v>
      </c>
      <c r="E237" s="305" t="s">
        <v>1596</v>
      </c>
      <c r="F237" s="307">
        <v>44217</v>
      </c>
      <c r="G237" s="307">
        <v>44366</v>
      </c>
      <c r="H237" s="176">
        <f>(3398500)*1.18</f>
        <v>4010230</v>
      </c>
      <c r="I237" s="176">
        <v>0</v>
      </c>
      <c r="J237" s="176">
        <f t="shared" si="34"/>
        <v>4010230</v>
      </c>
      <c r="K237" s="176">
        <v>0</v>
      </c>
      <c r="L237" s="176">
        <v>1025000</v>
      </c>
      <c r="M237" s="176">
        <v>1025000</v>
      </c>
      <c r="N237" s="176">
        <v>1025000</v>
      </c>
      <c r="O237" s="176">
        <v>1025000</v>
      </c>
      <c r="P237" s="25"/>
    </row>
    <row r="238" spans="1:16" s="102" customFormat="1" ht="15.75">
      <c r="A238" s="24">
        <v>26</v>
      </c>
      <c r="B238" s="171" t="s">
        <v>25</v>
      </c>
      <c r="C238" s="306" t="s">
        <v>1586</v>
      </c>
      <c r="D238" s="24" t="s">
        <v>48</v>
      </c>
      <c r="E238" s="307" t="s">
        <v>117</v>
      </c>
      <c r="F238" s="307">
        <v>44265</v>
      </c>
      <c r="G238" s="307">
        <v>44514</v>
      </c>
      <c r="H238" s="176">
        <f>(700000)*1.18</f>
        <v>826000</v>
      </c>
      <c r="I238" s="176">
        <v>0</v>
      </c>
      <c r="J238" s="176">
        <f t="shared" si="34"/>
        <v>826000</v>
      </c>
      <c r="K238" s="176">
        <v>0</v>
      </c>
      <c r="L238" s="176">
        <v>206000</v>
      </c>
      <c r="M238" s="176">
        <v>206000</v>
      </c>
      <c r="N238" s="176">
        <v>206000</v>
      </c>
      <c r="O238" s="176">
        <v>206000</v>
      </c>
      <c r="P238" s="25"/>
    </row>
    <row r="239" spans="1:16" s="102" customFormat="1" ht="30">
      <c r="A239" s="24">
        <v>27</v>
      </c>
      <c r="B239" s="171" t="s">
        <v>40</v>
      </c>
      <c r="C239" s="306" t="s">
        <v>1587</v>
      </c>
      <c r="D239" s="24" t="s">
        <v>48</v>
      </c>
      <c r="E239" s="307" t="s">
        <v>1595</v>
      </c>
      <c r="F239" s="307">
        <v>44284</v>
      </c>
      <c r="G239" s="307">
        <v>44583</v>
      </c>
      <c r="H239" s="176">
        <f>(504560)*1.18</f>
        <v>595380.79999999993</v>
      </c>
      <c r="I239" s="176">
        <v>0</v>
      </c>
      <c r="J239" s="176">
        <f t="shared" si="34"/>
        <v>595380.79999999993</v>
      </c>
      <c r="K239" s="176">
        <v>0</v>
      </c>
      <c r="L239" s="176">
        <v>148845</v>
      </c>
      <c r="M239" s="176">
        <v>148845</v>
      </c>
      <c r="N239" s="176">
        <v>148845</v>
      </c>
      <c r="O239" s="176">
        <v>148845</v>
      </c>
      <c r="P239" s="25"/>
    </row>
    <row r="240" spans="1:16" s="102" customFormat="1" ht="30">
      <c r="A240" s="24">
        <v>28</v>
      </c>
      <c r="B240" s="171" t="s">
        <v>40</v>
      </c>
      <c r="C240" s="306" t="s">
        <v>1588</v>
      </c>
      <c r="D240" s="24" t="s">
        <v>48</v>
      </c>
      <c r="E240" s="307" t="s">
        <v>1595</v>
      </c>
      <c r="F240" s="307">
        <v>44285</v>
      </c>
      <c r="G240" s="307">
        <v>44434</v>
      </c>
      <c r="H240" s="176">
        <f>(957000)*1.18</f>
        <v>1129260</v>
      </c>
      <c r="I240" s="176">
        <v>0</v>
      </c>
      <c r="J240" s="176">
        <f t="shared" si="34"/>
        <v>1129260</v>
      </c>
      <c r="K240" s="176">
        <v>0</v>
      </c>
      <c r="L240" s="176">
        <v>282340</v>
      </c>
      <c r="M240" s="176">
        <v>282340</v>
      </c>
      <c r="N240" s="176">
        <v>282340</v>
      </c>
      <c r="O240" s="176">
        <v>282340</v>
      </c>
      <c r="P240" s="25"/>
    </row>
    <row r="241" spans="1:16" s="102" customFormat="1" ht="15.75">
      <c r="A241" s="24">
        <v>29</v>
      </c>
      <c r="B241" s="171" t="s">
        <v>40</v>
      </c>
      <c r="C241" s="425" t="s">
        <v>1589</v>
      </c>
      <c r="D241" s="24" t="s">
        <v>48</v>
      </c>
      <c r="E241" s="307" t="s">
        <v>1595</v>
      </c>
      <c r="F241" s="307">
        <v>44291</v>
      </c>
      <c r="G241" s="307">
        <v>44530</v>
      </c>
      <c r="H241" s="176">
        <f>(275945)*1.18</f>
        <v>325615.09999999998</v>
      </c>
      <c r="I241" s="176">
        <v>0</v>
      </c>
      <c r="J241" s="176">
        <f t="shared" si="34"/>
        <v>325615.09999999998</v>
      </c>
      <c r="K241" s="176">
        <v>0</v>
      </c>
      <c r="L241" s="176">
        <v>81403</v>
      </c>
      <c r="M241" s="176">
        <v>81403</v>
      </c>
      <c r="N241" s="176">
        <v>81403</v>
      </c>
      <c r="O241" s="176">
        <v>81403</v>
      </c>
      <c r="P241" s="25"/>
    </row>
    <row r="242" spans="1:16" s="102" customFormat="1" ht="45">
      <c r="A242" s="24">
        <v>30</v>
      </c>
      <c r="B242" s="171" t="s">
        <v>25</v>
      </c>
      <c r="C242" s="426" t="s">
        <v>1590</v>
      </c>
      <c r="D242" s="24" t="s">
        <v>48</v>
      </c>
      <c r="E242" s="305" t="s">
        <v>788</v>
      </c>
      <c r="F242" s="307">
        <v>43837</v>
      </c>
      <c r="G242" s="307">
        <v>44201</v>
      </c>
      <c r="H242" s="176">
        <v>14112587.42</v>
      </c>
      <c r="I242" s="176">
        <v>14107895.35</v>
      </c>
      <c r="J242" s="176">
        <v>14112587.42</v>
      </c>
      <c r="K242" s="176"/>
      <c r="L242" s="176">
        <v>14112587.42</v>
      </c>
      <c r="M242" s="176">
        <v>0</v>
      </c>
      <c r="N242" s="176">
        <v>0</v>
      </c>
      <c r="O242" s="176">
        <v>0</v>
      </c>
      <c r="P242" s="25"/>
    </row>
    <row r="243" spans="1:16" s="102" customFormat="1" ht="45">
      <c r="A243" s="24">
        <v>31</v>
      </c>
      <c r="B243" s="171" t="s">
        <v>25</v>
      </c>
      <c r="C243" s="426" t="s">
        <v>1591</v>
      </c>
      <c r="D243" s="24" t="s">
        <v>48</v>
      </c>
      <c r="E243" s="305" t="s">
        <v>788</v>
      </c>
      <c r="F243" s="307">
        <v>43837</v>
      </c>
      <c r="G243" s="307">
        <v>44201</v>
      </c>
      <c r="H243" s="176">
        <v>16212404.15</v>
      </c>
      <c r="I243" s="176">
        <v>16089189.42</v>
      </c>
      <c r="J243" s="176">
        <v>16212404.15</v>
      </c>
      <c r="K243" s="176"/>
      <c r="L243" s="176" t="s">
        <v>1597</v>
      </c>
      <c r="M243" s="176">
        <v>0</v>
      </c>
      <c r="N243" s="176">
        <v>0</v>
      </c>
      <c r="O243" s="176">
        <v>0</v>
      </c>
      <c r="P243" s="25"/>
    </row>
    <row r="244" spans="1:16" s="102" customFormat="1" ht="45">
      <c r="A244" s="24">
        <v>32</v>
      </c>
      <c r="B244" s="171" t="s">
        <v>25</v>
      </c>
      <c r="C244" s="426" t="s">
        <v>1592</v>
      </c>
      <c r="D244" s="24" t="s">
        <v>48</v>
      </c>
      <c r="E244" s="305" t="s">
        <v>788</v>
      </c>
      <c r="F244" s="307">
        <v>43944</v>
      </c>
      <c r="G244" s="305" t="s">
        <v>1598</v>
      </c>
      <c r="H244" s="176">
        <v>14990671.279999999</v>
      </c>
      <c r="I244" s="176">
        <v>13412005.060000001</v>
      </c>
      <c r="J244" s="176">
        <v>14990671.279999999</v>
      </c>
      <c r="K244" s="176"/>
      <c r="L244" s="176">
        <v>14990671.279999999</v>
      </c>
      <c r="M244" s="176">
        <v>0</v>
      </c>
      <c r="N244" s="176">
        <v>0</v>
      </c>
      <c r="O244" s="176">
        <v>0</v>
      </c>
      <c r="P244" s="25"/>
    </row>
    <row r="245" spans="1:16" s="102" customFormat="1" ht="15.75">
      <c r="A245" s="24">
        <v>33</v>
      </c>
      <c r="B245" s="171" t="s">
        <v>25</v>
      </c>
      <c r="C245" s="426" t="s">
        <v>1593</v>
      </c>
      <c r="D245" s="24" t="s">
        <v>48</v>
      </c>
      <c r="E245" s="305" t="s">
        <v>788</v>
      </c>
      <c r="F245" s="307">
        <v>44249</v>
      </c>
      <c r="G245" s="307">
        <v>44401</v>
      </c>
      <c r="H245" s="176">
        <v>701249.22</v>
      </c>
      <c r="I245" s="176">
        <v>0</v>
      </c>
      <c r="J245" s="176">
        <v>701249.22</v>
      </c>
      <c r="K245" s="176"/>
      <c r="L245" s="176">
        <v>701249.22</v>
      </c>
      <c r="M245" s="176">
        <v>0</v>
      </c>
      <c r="N245" s="176">
        <v>0</v>
      </c>
      <c r="O245" s="176">
        <v>0</v>
      </c>
      <c r="P245" s="25"/>
    </row>
    <row r="246" spans="1:16" s="102" customFormat="1" ht="45">
      <c r="A246" s="24">
        <v>34</v>
      </c>
      <c r="B246" s="171" t="s">
        <v>25</v>
      </c>
      <c r="C246" s="426" t="s">
        <v>1594</v>
      </c>
      <c r="D246" s="24" t="s">
        <v>48</v>
      </c>
      <c r="E246" s="305" t="s">
        <v>788</v>
      </c>
      <c r="F246" s="307">
        <v>44271</v>
      </c>
      <c r="G246" s="307">
        <v>44560</v>
      </c>
      <c r="H246" s="176">
        <v>8672675.9700000007</v>
      </c>
      <c r="I246" s="176">
        <v>0</v>
      </c>
      <c r="J246" s="176">
        <v>8672675.9700000007</v>
      </c>
      <c r="K246" s="176"/>
      <c r="L246" s="176">
        <v>8672675.9700000007</v>
      </c>
      <c r="M246" s="176">
        <v>0</v>
      </c>
      <c r="N246" s="176">
        <v>0</v>
      </c>
      <c r="O246" s="176">
        <v>0</v>
      </c>
      <c r="P246" s="25"/>
    </row>
    <row r="247" spans="1:16" s="21" customFormat="1" ht="54" customHeight="1">
      <c r="A247" s="742" t="s">
        <v>20</v>
      </c>
      <c r="B247" s="742"/>
      <c r="C247" s="742"/>
      <c r="D247" s="742"/>
      <c r="E247" s="742"/>
      <c r="F247" s="742"/>
      <c r="G247" s="742"/>
      <c r="H247" s="433">
        <f>SUM(H213:H246)</f>
        <v>291233045.04040003</v>
      </c>
      <c r="I247" s="434">
        <f t="shared" ref="I247:O247" si="35">SUM(I213:I246)</f>
        <v>191938871.42319995</v>
      </c>
      <c r="J247" s="433">
        <f t="shared" si="35"/>
        <v>142903263.4472</v>
      </c>
      <c r="K247" s="433">
        <f t="shared" si="35"/>
        <v>41292940.413999997</v>
      </c>
      <c r="L247" s="433">
        <f t="shared" si="35"/>
        <v>59184788.480800003</v>
      </c>
      <c r="M247" s="433">
        <f t="shared" si="35"/>
        <v>20029436.1446</v>
      </c>
      <c r="N247" s="433">
        <f t="shared" si="35"/>
        <v>11560044</v>
      </c>
      <c r="O247" s="433">
        <f t="shared" si="35"/>
        <v>11560044</v>
      </c>
      <c r="P247" s="451"/>
    </row>
    <row r="248" spans="1:16">
      <c r="A248" s="743"/>
      <c r="B248" s="743"/>
      <c r="C248" s="743"/>
      <c r="D248" s="743"/>
      <c r="E248" s="743"/>
      <c r="F248" s="743"/>
      <c r="G248" s="743"/>
      <c r="H248" s="743"/>
      <c r="I248" s="743"/>
      <c r="J248" s="743"/>
      <c r="K248" s="743"/>
      <c r="L248" s="743"/>
      <c r="M248" s="743"/>
      <c r="N248" s="743"/>
      <c r="O248" s="743"/>
      <c r="P248" s="743"/>
    </row>
    <row r="249" spans="1:16" s="15" customFormat="1" ht="50.25" customHeight="1">
      <c r="A249" s="680" t="s">
        <v>1559</v>
      </c>
      <c r="B249" s="680"/>
      <c r="C249" s="680"/>
      <c r="D249" s="680"/>
      <c r="E249" s="680"/>
      <c r="F249" s="680"/>
      <c r="G249" s="680"/>
      <c r="H249" s="680"/>
      <c r="I249" s="680"/>
      <c r="J249" s="680"/>
      <c r="K249" s="680"/>
      <c r="L249" s="680"/>
      <c r="M249" s="680"/>
      <c r="N249" s="680"/>
      <c r="O249" s="680"/>
      <c r="P249" s="680"/>
    </row>
    <row r="250" spans="1:16" s="102" customFormat="1" ht="23.25" customHeight="1">
      <c r="A250" s="24">
        <v>1</v>
      </c>
      <c r="B250" s="24" t="s">
        <v>25</v>
      </c>
      <c r="C250" s="160" t="s">
        <v>1555</v>
      </c>
      <c r="D250" s="165" t="s">
        <v>866</v>
      </c>
      <c r="E250" s="165"/>
      <c r="F250" s="165">
        <v>2021</v>
      </c>
      <c r="G250" s="295">
        <v>2021</v>
      </c>
      <c r="H250" s="176">
        <v>16700000</v>
      </c>
      <c r="I250" s="176"/>
      <c r="J250" s="176">
        <v>16700000</v>
      </c>
      <c r="K250" s="176"/>
      <c r="L250" s="176">
        <v>4175000</v>
      </c>
      <c r="M250" s="176">
        <v>4175000</v>
      </c>
      <c r="N250" s="176">
        <v>4175000</v>
      </c>
      <c r="O250" s="176">
        <v>4175000</v>
      </c>
      <c r="P250" s="25"/>
    </row>
    <row r="251" spans="1:16" s="102" customFormat="1" ht="23.25" customHeight="1">
      <c r="A251" s="24">
        <v>2</v>
      </c>
      <c r="B251" s="24" t="s">
        <v>25</v>
      </c>
      <c r="C251" s="161" t="s">
        <v>1556</v>
      </c>
      <c r="D251" s="165" t="s">
        <v>866</v>
      </c>
      <c r="E251" s="171"/>
      <c r="F251" s="165">
        <v>2021</v>
      </c>
      <c r="G251" s="295">
        <v>2021</v>
      </c>
      <c r="H251" s="176">
        <v>15000000</v>
      </c>
      <c r="I251" s="176"/>
      <c r="J251" s="176">
        <v>15000000</v>
      </c>
      <c r="K251" s="176"/>
      <c r="L251" s="176">
        <v>3750000</v>
      </c>
      <c r="M251" s="176">
        <v>3750000</v>
      </c>
      <c r="N251" s="176">
        <v>3750000</v>
      </c>
      <c r="O251" s="176">
        <v>3750000</v>
      </c>
      <c r="P251" s="25"/>
    </row>
    <row r="252" spans="1:16" s="102" customFormat="1" ht="23.25" customHeight="1">
      <c r="A252" s="24">
        <v>3</v>
      </c>
      <c r="B252" s="24" t="s">
        <v>25</v>
      </c>
      <c r="C252" s="161" t="s">
        <v>1557</v>
      </c>
      <c r="D252" s="165" t="s">
        <v>866</v>
      </c>
      <c r="E252" s="171"/>
      <c r="F252" s="165">
        <v>2021</v>
      </c>
      <c r="G252" s="295">
        <v>2021</v>
      </c>
      <c r="H252" s="176">
        <v>49500000</v>
      </c>
      <c r="I252" s="176"/>
      <c r="J252" s="176">
        <v>49500000</v>
      </c>
      <c r="K252" s="176"/>
      <c r="L252" s="176">
        <v>12375000</v>
      </c>
      <c r="M252" s="176">
        <v>12375000</v>
      </c>
      <c r="N252" s="176">
        <v>12375000</v>
      </c>
      <c r="O252" s="176">
        <v>12375000</v>
      </c>
      <c r="P252" s="25"/>
    </row>
    <row r="253" spans="1:16" s="102" customFormat="1" ht="23.25" customHeight="1">
      <c r="A253" s="24">
        <v>4</v>
      </c>
      <c r="B253" s="24" t="s">
        <v>25</v>
      </c>
      <c r="C253" s="161" t="s">
        <v>1558</v>
      </c>
      <c r="D253" s="165" t="s">
        <v>866</v>
      </c>
      <c r="E253" s="171"/>
      <c r="F253" s="165">
        <v>2021</v>
      </c>
      <c r="G253" s="295">
        <v>2021</v>
      </c>
      <c r="H253" s="176">
        <v>4000000</v>
      </c>
      <c r="I253" s="176"/>
      <c r="J253" s="176">
        <v>4000000</v>
      </c>
      <c r="K253" s="176"/>
      <c r="L253" s="176">
        <v>1000000</v>
      </c>
      <c r="M253" s="176">
        <v>1000000</v>
      </c>
      <c r="N253" s="176">
        <v>1000000</v>
      </c>
      <c r="O253" s="176">
        <v>1000000</v>
      </c>
      <c r="P253" s="25"/>
    </row>
    <row r="254" spans="1:16" s="21" customFormat="1" ht="49.5" customHeight="1">
      <c r="A254" s="742" t="s">
        <v>20</v>
      </c>
      <c r="B254" s="742"/>
      <c r="C254" s="742"/>
      <c r="D254" s="742"/>
      <c r="E254" s="742"/>
      <c r="F254" s="742"/>
      <c r="G254" s="742"/>
      <c r="H254" s="433">
        <f>SUM(H250:H253)</f>
        <v>85200000</v>
      </c>
      <c r="I254" s="434">
        <f t="shared" ref="I254:O254" si="36">SUM(I250:I253)</f>
        <v>0</v>
      </c>
      <c r="J254" s="433">
        <f t="shared" si="36"/>
        <v>85200000</v>
      </c>
      <c r="K254" s="433">
        <f t="shared" si="36"/>
        <v>0</v>
      </c>
      <c r="L254" s="433">
        <f t="shared" si="36"/>
        <v>21300000</v>
      </c>
      <c r="M254" s="433">
        <f t="shared" si="36"/>
        <v>21300000</v>
      </c>
      <c r="N254" s="433">
        <f t="shared" si="36"/>
        <v>21300000</v>
      </c>
      <c r="O254" s="433">
        <f t="shared" si="36"/>
        <v>21300000</v>
      </c>
      <c r="P254" s="451"/>
    </row>
    <row r="255" spans="1:16">
      <c r="A255" s="743"/>
      <c r="B255" s="743"/>
      <c r="C255" s="743"/>
      <c r="D255" s="743"/>
      <c r="E255" s="743"/>
      <c r="F255" s="743"/>
      <c r="G255" s="743"/>
      <c r="H255" s="743"/>
      <c r="I255" s="743"/>
      <c r="J255" s="743"/>
      <c r="K255" s="743"/>
      <c r="L255" s="743"/>
      <c r="M255" s="743"/>
      <c r="N255" s="743"/>
      <c r="O255" s="743"/>
      <c r="P255" s="743"/>
    </row>
    <row r="256" spans="1:16" ht="56.25" customHeight="1">
      <c r="A256" s="680" t="s">
        <v>1703</v>
      </c>
      <c r="B256" s="680"/>
      <c r="C256" s="680"/>
      <c r="D256" s="680"/>
      <c r="E256" s="680"/>
      <c r="F256" s="680"/>
      <c r="G256" s="680"/>
      <c r="H256" s="680"/>
      <c r="I256" s="680"/>
      <c r="J256" s="680"/>
      <c r="K256" s="680"/>
      <c r="L256" s="680"/>
      <c r="M256" s="680"/>
      <c r="N256" s="680"/>
      <c r="O256" s="680"/>
      <c r="P256" s="680"/>
    </row>
    <row r="257" spans="1:16" s="102" customFormat="1" ht="23.25" customHeight="1">
      <c r="A257" s="24">
        <v>1</v>
      </c>
      <c r="B257" s="158" t="s">
        <v>25</v>
      </c>
      <c r="C257" s="165" t="s">
        <v>1680</v>
      </c>
      <c r="D257" s="158" t="s">
        <v>862</v>
      </c>
      <c r="E257" s="165" t="s">
        <v>1698</v>
      </c>
      <c r="F257" s="162">
        <v>44348</v>
      </c>
      <c r="G257" s="163">
        <v>44561</v>
      </c>
      <c r="H257" s="176">
        <v>3839917</v>
      </c>
      <c r="I257" s="176"/>
      <c r="J257" s="176">
        <v>3839917</v>
      </c>
      <c r="K257" s="176"/>
      <c r="L257" s="176">
        <f>J257/4</f>
        <v>959979.25</v>
      </c>
      <c r="M257" s="176">
        <v>959979.25</v>
      </c>
      <c r="N257" s="176">
        <v>959979.25</v>
      </c>
      <c r="O257" s="176">
        <v>959979.25</v>
      </c>
      <c r="P257" s="140"/>
    </row>
    <row r="258" spans="1:16" s="102" customFormat="1" ht="23.25" customHeight="1">
      <c r="A258" s="24">
        <v>2</v>
      </c>
      <c r="B258" s="158" t="s">
        <v>25</v>
      </c>
      <c r="C258" s="171" t="s">
        <v>1681</v>
      </c>
      <c r="D258" s="158" t="s">
        <v>862</v>
      </c>
      <c r="E258" s="165" t="s">
        <v>1698</v>
      </c>
      <c r="F258" s="162">
        <v>44348</v>
      </c>
      <c r="G258" s="156">
        <v>44561</v>
      </c>
      <c r="H258" s="176">
        <v>1000000</v>
      </c>
      <c r="I258" s="176"/>
      <c r="J258" s="176">
        <v>1000000</v>
      </c>
      <c r="K258" s="176"/>
      <c r="L258" s="176">
        <f t="shared" ref="L258:L275" si="37">J258/4</f>
        <v>250000</v>
      </c>
      <c r="M258" s="176">
        <v>250000</v>
      </c>
      <c r="N258" s="176">
        <v>250000</v>
      </c>
      <c r="O258" s="176">
        <v>250000</v>
      </c>
      <c r="P258" s="140"/>
    </row>
    <row r="259" spans="1:16" s="102" customFormat="1" ht="23.25" customHeight="1">
      <c r="A259" s="24">
        <v>3</v>
      </c>
      <c r="B259" s="158" t="s">
        <v>25</v>
      </c>
      <c r="C259" s="171" t="s">
        <v>1682</v>
      </c>
      <c r="D259" s="158" t="s">
        <v>862</v>
      </c>
      <c r="E259" s="165" t="s">
        <v>1698</v>
      </c>
      <c r="F259" s="155">
        <v>44348</v>
      </c>
      <c r="G259" s="156">
        <v>44561</v>
      </c>
      <c r="H259" s="176">
        <v>508288</v>
      </c>
      <c r="I259" s="176"/>
      <c r="J259" s="176">
        <v>508288</v>
      </c>
      <c r="K259" s="176"/>
      <c r="L259" s="176">
        <f t="shared" si="37"/>
        <v>127072</v>
      </c>
      <c r="M259" s="176">
        <v>127072</v>
      </c>
      <c r="N259" s="176">
        <v>127072</v>
      </c>
      <c r="O259" s="176">
        <v>127072</v>
      </c>
      <c r="P259" s="140"/>
    </row>
    <row r="260" spans="1:16" s="102" customFormat="1" ht="23.25" customHeight="1">
      <c r="A260" s="24">
        <v>4</v>
      </c>
      <c r="B260" s="158" t="s">
        <v>25</v>
      </c>
      <c r="C260" s="171" t="s">
        <v>1683</v>
      </c>
      <c r="D260" s="158" t="s">
        <v>862</v>
      </c>
      <c r="E260" s="165" t="s">
        <v>1699</v>
      </c>
      <c r="F260" s="155">
        <v>44348</v>
      </c>
      <c r="G260" s="156">
        <v>44561</v>
      </c>
      <c r="H260" s="176">
        <v>206142</v>
      </c>
      <c r="I260" s="176"/>
      <c r="J260" s="176">
        <v>206142</v>
      </c>
      <c r="K260" s="176"/>
      <c r="L260" s="176">
        <f t="shared" si="37"/>
        <v>51535.5</v>
      </c>
      <c r="M260" s="176">
        <v>51535.5</v>
      </c>
      <c r="N260" s="176">
        <v>51535.5</v>
      </c>
      <c r="O260" s="176">
        <v>51535.5</v>
      </c>
      <c r="P260" s="140"/>
    </row>
    <row r="261" spans="1:16" s="102" customFormat="1" ht="23.25" customHeight="1">
      <c r="A261" s="24">
        <v>5</v>
      </c>
      <c r="B261" s="158" t="s">
        <v>25</v>
      </c>
      <c r="C261" s="171" t="s">
        <v>1684</v>
      </c>
      <c r="D261" s="158" t="s">
        <v>862</v>
      </c>
      <c r="E261" s="165" t="s">
        <v>1698</v>
      </c>
      <c r="F261" s="155">
        <v>44348</v>
      </c>
      <c r="G261" s="156">
        <v>44561</v>
      </c>
      <c r="H261" s="176">
        <v>538356</v>
      </c>
      <c r="I261" s="176"/>
      <c r="J261" s="176">
        <v>538356</v>
      </c>
      <c r="K261" s="176"/>
      <c r="L261" s="176">
        <f t="shared" si="37"/>
        <v>134589</v>
      </c>
      <c r="M261" s="176">
        <v>134589</v>
      </c>
      <c r="N261" s="176">
        <v>134589</v>
      </c>
      <c r="O261" s="176">
        <v>134589</v>
      </c>
      <c r="P261" s="140"/>
    </row>
    <row r="262" spans="1:16" s="102" customFormat="1" ht="23.25" customHeight="1">
      <c r="A262" s="24">
        <v>6</v>
      </c>
      <c r="B262" s="158" t="s">
        <v>25</v>
      </c>
      <c r="C262" s="171" t="s">
        <v>1685</v>
      </c>
      <c r="D262" s="158" t="s">
        <v>862</v>
      </c>
      <c r="E262" s="165" t="s">
        <v>1698</v>
      </c>
      <c r="F262" s="155">
        <v>44348</v>
      </c>
      <c r="G262" s="156">
        <v>44561</v>
      </c>
      <c r="H262" s="176">
        <v>435338</v>
      </c>
      <c r="I262" s="176"/>
      <c r="J262" s="176">
        <v>435338</v>
      </c>
      <c r="K262" s="176"/>
      <c r="L262" s="176">
        <f t="shared" si="37"/>
        <v>108834.5</v>
      </c>
      <c r="M262" s="176">
        <v>108834.5</v>
      </c>
      <c r="N262" s="176">
        <v>108834.5</v>
      </c>
      <c r="O262" s="176">
        <v>108834.5</v>
      </c>
      <c r="P262" s="140"/>
    </row>
    <row r="263" spans="1:16" s="102" customFormat="1" ht="23.25" customHeight="1">
      <c r="A263" s="24">
        <v>7</v>
      </c>
      <c r="B263" s="158" t="s">
        <v>25</v>
      </c>
      <c r="C263" s="171" t="s">
        <v>1686</v>
      </c>
      <c r="D263" s="158" t="s">
        <v>862</v>
      </c>
      <c r="E263" s="165" t="s">
        <v>1698</v>
      </c>
      <c r="F263" s="155">
        <v>44348</v>
      </c>
      <c r="G263" s="156">
        <v>44561</v>
      </c>
      <c r="H263" s="176">
        <v>120026</v>
      </c>
      <c r="I263" s="176"/>
      <c r="J263" s="176">
        <v>120026</v>
      </c>
      <c r="K263" s="176"/>
      <c r="L263" s="176">
        <f t="shared" si="37"/>
        <v>30006.5</v>
      </c>
      <c r="M263" s="176">
        <v>30006.5</v>
      </c>
      <c r="N263" s="176">
        <v>30006.5</v>
      </c>
      <c r="O263" s="176">
        <v>30006.5</v>
      </c>
      <c r="P263" s="140"/>
    </row>
    <row r="264" spans="1:16" s="102" customFormat="1" ht="23.25" customHeight="1">
      <c r="A264" s="24">
        <v>8</v>
      </c>
      <c r="B264" s="158" t="s">
        <v>25</v>
      </c>
      <c r="C264" s="171" t="s">
        <v>1687</v>
      </c>
      <c r="D264" s="158" t="s">
        <v>862</v>
      </c>
      <c r="E264" s="165" t="s">
        <v>1698</v>
      </c>
      <c r="F264" s="155">
        <v>44348</v>
      </c>
      <c r="G264" s="156">
        <v>44561</v>
      </c>
      <c r="H264" s="176">
        <v>1470000</v>
      </c>
      <c r="I264" s="176"/>
      <c r="J264" s="176">
        <v>1470000</v>
      </c>
      <c r="K264" s="176"/>
      <c r="L264" s="176">
        <f t="shared" si="37"/>
        <v>367500</v>
      </c>
      <c r="M264" s="176">
        <v>367500</v>
      </c>
      <c r="N264" s="176">
        <v>367500</v>
      </c>
      <c r="O264" s="176">
        <v>367500</v>
      </c>
      <c r="P264" s="140"/>
    </row>
    <row r="265" spans="1:16" s="102" customFormat="1" ht="23.25" customHeight="1">
      <c r="A265" s="24">
        <v>9</v>
      </c>
      <c r="B265" s="158" t="s">
        <v>25</v>
      </c>
      <c r="C265" s="171" t="s">
        <v>1688</v>
      </c>
      <c r="D265" s="158" t="s">
        <v>862</v>
      </c>
      <c r="E265" s="165" t="s">
        <v>1698</v>
      </c>
      <c r="F265" s="155">
        <v>44348</v>
      </c>
      <c r="G265" s="156">
        <v>44561</v>
      </c>
      <c r="H265" s="176">
        <v>330000</v>
      </c>
      <c r="I265" s="176"/>
      <c r="J265" s="176">
        <v>330000</v>
      </c>
      <c r="K265" s="176"/>
      <c r="L265" s="176">
        <f t="shared" si="37"/>
        <v>82500</v>
      </c>
      <c r="M265" s="176">
        <v>82500</v>
      </c>
      <c r="N265" s="176">
        <v>82500</v>
      </c>
      <c r="O265" s="176">
        <v>82500</v>
      </c>
      <c r="P265" s="140"/>
    </row>
    <row r="266" spans="1:16" s="102" customFormat="1" ht="23.25" customHeight="1">
      <c r="A266" s="24">
        <v>10</v>
      </c>
      <c r="B266" s="158" t="s">
        <v>25</v>
      </c>
      <c r="C266" s="171" t="s">
        <v>1689</v>
      </c>
      <c r="D266" s="158" t="s">
        <v>862</v>
      </c>
      <c r="E266" s="165" t="s">
        <v>1698</v>
      </c>
      <c r="F266" s="155">
        <v>44348</v>
      </c>
      <c r="G266" s="156">
        <v>44561</v>
      </c>
      <c r="H266" s="176">
        <v>110508</v>
      </c>
      <c r="I266" s="176"/>
      <c r="J266" s="176">
        <v>110508</v>
      </c>
      <c r="K266" s="176"/>
      <c r="L266" s="176">
        <f t="shared" si="37"/>
        <v>27627</v>
      </c>
      <c r="M266" s="176">
        <v>27627</v>
      </c>
      <c r="N266" s="176">
        <v>27627</v>
      </c>
      <c r="O266" s="176">
        <v>27627</v>
      </c>
      <c r="P266" s="140"/>
    </row>
    <row r="267" spans="1:16" s="102" customFormat="1" ht="23.25" customHeight="1">
      <c r="A267" s="24">
        <v>11</v>
      </c>
      <c r="B267" s="158" t="s">
        <v>36</v>
      </c>
      <c r="C267" s="165" t="s">
        <v>1690</v>
      </c>
      <c r="D267" s="158" t="s">
        <v>862</v>
      </c>
      <c r="E267" s="165" t="s">
        <v>36</v>
      </c>
      <c r="F267" s="162">
        <v>44197</v>
      </c>
      <c r="G267" s="163">
        <v>44561</v>
      </c>
      <c r="H267" s="176">
        <v>798000</v>
      </c>
      <c r="I267" s="176"/>
      <c r="J267" s="176">
        <v>798000</v>
      </c>
      <c r="K267" s="176"/>
      <c r="L267" s="176">
        <f t="shared" si="37"/>
        <v>199500</v>
      </c>
      <c r="M267" s="176">
        <v>199500</v>
      </c>
      <c r="N267" s="176">
        <v>199500</v>
      </c>
      <c r="O267" s="176">
        <v>199500</v>
      </c>
      <c r="P267" s="140"/>
    </row>
    <row r="268" spans="1:16" s="102" customFormat="1" ht="23.25" customHeight="1">
      <c r="A268" s="24">
        <v>12</v>
      </c>
      <c r="B268" s="158" t="s">
        <v>36</v>
      </c>
      <c r="C268" s="165" t="s">
        <v>1690</v>
      </c>
      <c r="D268" s="158" t="s">
        <v>862</v>
      </c>
      <c r="E268" s="165" t="s">
        <v>36</v>
      </c>
      <c r="F268" s="162">
        <v>44197</v>
      </c>
      <c r="G268" s="163">
        <v>44561</v>
      </c>
      <c r="H268" s="176">
        <v>915000</v>
      </c>
      <c r="I268" s="176"/>
      <c r="J268" s="176">
        <v>915000</v>
      </c>
      <c r="K268" s="176"/>
      <c r="L268" s="176">
        <f t="shared" si="37"/>
        <v>228750</v>
      </c>
      <c r="M268" s="176">
        <v>228750</v>
      </c>
      <c r="N268" s="176">
        <v>228750</v>
      </c>
      <c r="O268" s="176">
        <v>228750</v>
      </c>
      <c r="P268" s="140"/>
    </row>
    <row r="269" spans="1:16" s="102" customFormat="1" ht="23.25" customHeight="1">
      <c r="A269" s="24">
        <v>13</v>
      </c>
      <c r="B269" s="158" t="s">
        <v>25</v>
      </c>
      <c r="C269" s="171" t="s">
        <v>1691</v>
      </c>
      <c r="D269" s="158" t="s">
        <v>862</v>
      </c>
      <c r="E269" s="171" t="s">
        <v>1700</v>
      </c>
      <c r="F269" s="162">
        <v>44197</v>
      </c>
      <c r="G269" s="163">
        <v>44561</v>
      </c>
      <c r="H269" s="176">
        <v>400000</v>
      </c>
      <c r="I269" s="176"/>
      <c r="J269" s="176">
        <v>400000</v>
      </c>
      <c r="K269" s="176"/>
      <c r="L269" s="176">
        <f t="shared" si="37"/>
        <v>100000</v>
      </c>
      <c r="M269" s="176">
        <v>100000</v>
      </c>
      <c r="N269" s="176">
        <v>100000</v>
      </c>
      <c r="O269" s="176">
        <v>100000</v>
      </c>
      <c r="P269" s="140"/>
    </row>
    <row r="270" spans="1:16" s="102" customFormat="1" ht="23.25" customHeight="1">
      <c r="A270" s="24">
        <v>14</v>
      </c>
      <c r="B270" s="158" t="s">
        <v>25</v>
      </c>
      <c r="C270" s="171" t="s">
        <v>1692</v>
      </c>
      <c r="D270" s="158" t="s">
        <v>862</v>
      </c>
      <c r="E270" s="171" t="s">
        <v>1701</v>
      </c>
      <c r="F270" s="162">
        <v>44197</v>
      </c>
      <c r="G270" s="163">
        <v>44561</v>
      </c>
      <c r="H270" s="176">
        <v>4500000</v>
      </c>
      <c r="I270" s="176"/>
      <c r="J270" s="176">
        <v>4500000</v>
      </c>
      <c r="K270" s="176"/>
      <c r="L270" s="176">
        <f t="shared" si="37"/>
        <v>1125000</v>
      </c>
      <c r="M270" s="176">
        <v>1125000</v>
      </c>
      <c r="N270" s="176">
        <v>1125000</v>
      </c>
      <c r="O270" s="176">
        <v>1125000</v>
      </c>
      <c r="P270" s="140"/>
    </row>
    <row r="271" spans="1:16" s="102" customFormat="1" ht="23.25" customHeight="1">
      <c r="A271" s="24">
        <v>15</v>
      </c>
      <c r="B271" s="158" t="s">
        <v>40</v>
      </c>
      <c r="C271" s="171" t="s">
        <v>1693</v>
      </c>
      <c r="D271" s="158" t="s">
        <v>862</v>
      </c>
      <c r="E271" s="171" t="s">
        <v>1701</v>
      </c>
      <c r="F271" s="162">
        <v>44197</v>
      </c>
      <c r="G271" s="163">
        <v>44561</v>
      </c>
      <c r="H271" s="176">
        <v>4500000</v>
      </c>
      <c r="I271" s="176"/>
      <c r="J271" s="176">
        <v>4500000</v>
      </c>
      <c r="K271" s="176"/>
      <c r="L271" s="176">
        <f t="shared" si="37"/>
        <v>1125000</v>
      </c>
      <c r="M271" s="176">
        <v>1125000</v>
      </c>
      <c r="N271" s="176">
        <v>1125000</v>
      </c>
      <c r="O271" s="176">
        <v>1125000</v>
      </c>
      <c r="P271" s="140"/>
    </row>
    <row r="272" spans="1:16" s="102" customFormat="1" ht="23.25" customHeight="1">
      <c r="A272" s="24">
        <v>16</v>
      </c>
      <c r="B272" s="158" t="s">
        <v>36</v>
      </c>
      <c r="C272" s="171" t="s">
        <v>1694</v>
      </c>
      <c r="D272" s="158" t="s">
        <v>862</v>
      </c>
      <c r="E272" s="171" t="s">
        <v>36</v>
      </c>
      <c r="F272" s="162">
        <v>44197</v>
      </c>
      <c r="G272" s="163">
        <v>44561</v>
      </c>
      <c r="H272" s="176">
        <v>750000</v>
      </c>
      <c r="I272" s="176"/>
      <c r="J272" s="176">
        <v>750000</v>
      </c>
      <c r="K272" s="176"/>
      <c r="L272" s="176">
        <f t="shared" si="37"/>
        <v>187500</v>
      </c>
      <c r="M272" s="176">
        <v>187500</v>
      </c>
      <c r="N272" s="176">
        <v>187500</v>
      </c>
      <c r="O272" s="176">
        <v>187500</v>
      </c>
      <c r="P272" s="140"/>
    </row>
    <row r="273" spans="1:16" s="102" customFormat="1" ht="23.25" customHeight="1">
      <c r="A273" s="24">
        <v>17</v>
      </c>
      <c r="B273" s="158" t="s">
        <v>25</v>
      </c>
      <c r="C273" s="171" t="s">
        <v>1695</v>
      </c>
      <c r="D273" s="158" t="s">
        <v>862</v>
      </c>
      <c r="E273" s="171" t="s">
        <v>1700</v>
      </c>
      <c r="F273" s="162">
        <v>44197</v>
      </c>
      <c r="G273" s="163">
        <v>44561</v>
      </c>
      <c r="H273" s="176">
        <v>300000</v>
      </c>
      <c r="I273" s="176"/>
      <c r="J273" s="176">
        <v>300000</v>
      </c>
      <c r="K273" s="176"/>
      <c r="L273" s="176">
        <f t="shared" si="37"/>
        <v>75000</v>
      </c>
      <c r="M273" s="176">
        <v>75000</v>
      </c>
      <c r="N273" s="176">
        <v>75000</v>
      </c>
      <c r="O273" s="176">
        <v>75000</v>
      </c>
      <c r="P273" s="140"/>
    </row>
    <row r="274" spans="1:16" s="102" customFormat="1" ht="23.25" customHeight="1">
      <c r="A274" s="24">
        <v>18</v>
      </c>
      <c r="B274" s="158" t="s">
        <v>56</v>
      </c>
      <c r="C274" s="171" t="s">
        <v>1696</v>
      </c>
      <c r="D274" s="158" t="s">
        <v>862</v>
      </c>
      <c r="E274" s="171" t="s">
        <v>56</v>
      </c>
      <c r="F274" s="162">
        <v>44197</v>
      </c>
      <c r="G274" s="163">
        <v>44561</v>
      </c>
      <c r="H274" s="176">
        <v>1000000</v>
      </c>
      <c r="I274" s="176"/>
      <c r="J274" s="176">
        <v>1000000</v>
      </c>
      <c r="K274" s="176"/>
      <c r="L274" s="176">
        <f t="shared" si="37"/>
        <v>250000</v>
      </c>
      <c r="M274" s="176">
        <v>250000</v>
      </c>
      <c r="N274" s="176">
        <v>250000</v>
      </c>
      <c r="O274" s="176">
        <v>250000</v>
      </c>
      <c r="P274" s="140"/>
    </row>
    <row r="275" spans="1:16" s="102" customFormat="1" ht="23.25" customHeight="1">
      <c r="A275" s="24">
        <v>19</v>
      </c>
      <c r="B275" s="158" t="s">
        <v>25</v>
      </c>
      <c r="C275" s="171" t="s">
        <v>1697</v>
      </c>
      <c r="D275" s="158" t="s">
        <v>862</v>
      </c>
      <c r="E275" s="171" t="s">
        <v>1702</v>
      </c>
      <c r="F275" s="162">
        <v>44197</v>
      </c>
      <c r="G275" s="163">
        <v>44561</v>
      </c>
      <c r="H275" s="176">
        <v>600000</v>
      </c>
      <c r="I275" s="176"/>
      <c r="J275" s="176">
        <v>600000</v>
      </c>
      <c r="K275" s="176"/>
      <c r="L275" s="176">
        <f t="shared" si="37"/>
        <v>150000</v>
      </c>
      <c r="M275" s="176">
        <v>150000</v>
      </c>
      <c r="N275" s="176">
        <v>150000</v>
      </c>
      <c r="O275" s="176">
        <v>150000</v>
      </c>
      <c r="P275" s="140"/>
    </row>
    <row r="276" spans="1:16" ht="47.25" customHeight="1">
      <c r="A276" s="742" t="s">
        <v>20</v>
      </c>
      <c r="B276" s="742"/>
      <c r="C276" s="742"/>
      <c r="D276" s="742"/>
      <c r="E276" s="742"/>
      <c r="F276" s="742"/>
      <c r="G276" s="742"/>
      <c r="H276" s="433">
        <f>SUM(H257:H275)</f>
        <v>22321575</v>
      </c>
      <c r="I276" s="434">
        <f t="shared" ref="I276:O276" si="38">SUM(I257:I275)</f>
        <v>0</v>
      </c>
      <c r="J276" s="433">
        <f t="shared" si="38"/>
        <v>22321575</v>
      </c>
      <c r="K276" s="433">
        <f t="shared" si="38"/>
        <v>0</v>
      </c>
      <c r="L276" s="433">
        <f t="shared" si="38"/>
        <v>5580393.75</v>
      </c>
      <c r="M276" s="433">
        <f t="shared" si="38"/>
        <v>5580393.75</v>
      </c>
      <c r="N276" s="433">
        <f t="shared" si="38"/>
        <v>5580393.75</v>
      </c>
      <c r="O276" s="433">
        <f t="shared" si="38"/>
        <v>5580393.75</v>
      </c>
      <c r="P276" s="451"/>
    </row>
    <row r="277" spans="1:16">
      <c r="A277" s="743"/>
      <c r="B277" s="743"/>
      <c r="C277" s="743"/>
      <c r="D277" s="743"/>
      <c r="E277" s="743"/>
      <c r="F277" s="743"/>
      <c r="G277" s="743"/>
      <c r="H277" s="743"/>
      <c r="I277" s="743"/>
      <c r="J277" s="743"/>
      <c r="K277" s="743"/>
      <c r="L277" s="743"/>
      <c r="M277" s="743"/>
      <c r="N277" s="743"/>
      <c r="O277" s="743"/>
      <c r="P277" s="743"/>
    </row>
    <row r="278" spans="1:16" s="15" customFormat="1" ht="56.25" customHeight="1">
      <c r="A278" s="680" t="s">
        <v>1707</v>
      </c>
      <c r="B278" s="680"/>
      <c r="C278" s="680"/>
      <c r="D278" s="680"/>
      <c r="E278" s="680"/>
      <c r="F278" s="680"/>
      <c r="G278" s="680"/>
      <c r="H278" s="680"/>
      <c r="I278" s="680"/>
      <c r="J278" s="680"/>
      <c r="K278" s="680"/>
      <c r="L278" s="680"/>
      <c r="M278" s="680"/>
      <c r="N278" s="680"/>
      <c r="O278" s="680"/>
      <c r="P278" s="680"/>
    </row>
    <row r="279" spans="1:16" s="31" customFormat="1" ht="31.5">
      <c r="A279" s="24">
        <v>1</v>
      </c>
      <c r="B279" s="158" t="s">
        <v>25</v>
      </c>
      <c r="C279" s="162" t="s">
        <v>1704</v>
      </c>
      <c r="D279" s="171" t="s">
        <v>49</v>
      </c>
      <c r="E279" s="341"/>
      <c r="F279" s="162">
        <v>43893</v>
      </c>
      <c r="G279" s="162">
        <v>44333</v>
      </c>
      <c r="H279" s="176">
        <v>23591350.600000001</v>
      </c>
      <c r="I279" s="176">
        <v>18817736.199999999</v>
      </c>
      <c r="J279" s="176">
        <v>4773614.4000000004</v>
      </c>
      <c r="K279" s="176">
        <v>3362815.92</v>
      </c>
      <c r="L279" s="176">
        <v>3362815.92</v>
      </c>
      <c r="M279" s="176">
        <v>6107198.4800000004</v>
      </c>
      <c r="N279" s="176">
        <v>0</v>
      </c>
      <c r="O279" s="176">
        <v>0</v>
      </c>
      <c r="P279" s="27"/>
    </row>
    <row r="280" spans="1:16" s="31" customFormat="1" ht="15.75">
      <c r="A280" s="24">
        <v>2</v>
      </c>
      <c r="B280" s="171" t="s">
        <v>25</v>
      </c>
      <c r="C280" s="155" t="s">
        <v>1171</v>
      </c>
      <c r="D280" s="171" t="s">
        <v>49</v>
      </c>
      <c r="E280" s="341"/>
      <c r="F280" s="155">
        <v>43374</v>
      </c>
      <c r="G280" s="155">
        <v>44308</v>
      </c>
      <c r="H280" s="176">
        <v>8319000</v>
      </c>
      <c r="I280" s="176">
        <v>3449453.9</v>
      </c>
      <c r="J280" s="176">
        <v>4869546.0999999996</v>
      </c>
      <c r="K280" s="176">
        <v>0</v>
      </c>
      <c r="L280" s="176">
        <v>2006601.03</v>
      </c>
      <c r="M280" s="176">
        <f>I280-L280</f>
        <v>1442852.8699999999</v>
      </c>
      <c r="N280" s="176">
        <v>0</v>
      </c>
      <c r="O280" s="176">
        <v>0</v>
      </c>
      <c r="P280" s="27"/>
    </row>
    <row r="281" spans="1:16" s="31" customFormat="1" ht="15.75">
      <c r="A281" s="24">
        <v>3</v>
      </c>
      <c r="B281" s="171" t="s">
        <v>25</v>
      </c>
      <c r="C281" s="155" t="s">
        <v>1171</v>
      </c>
      <c r="D281" s="171" t="s">
        <v>49</v>
      </c>
      <c r="E281" s="341"/>
      <c r="F281" s="155">
        <v>43453</v>
      </c>
      <c r="G281" s="155">
        <v>44348</v>
      </c>
      <c r="H281" s="176">
        <v>20414000</v>
      </c>
      <c r="I281" s="176">
        <v>2855918.6</v>
      </c>
      <c r="J281" s="176">
        <v>17558081.399999999</v>
      </c>
      <c r="K281" s="176">
        <v>0</v>
      </c>
      <c r="L281" s="176">
        <v>484149.04</v>
      </c>
      <c r="M281" s="176">
        <v>0</v>
      </c>
      <c r="N281" s="176">
        <v>0</v>
      </c>
      <c r="O281" s="176">
        <v>0</v>
      </c>
      <c r="P281" s="27"/>
    </row>
    <row r="282" spans="1:16" s="31" customFormat="1" ht="47.25">
      <c r="A282" s="24">
        <v>4</v>
      </c>
      <c r="B282" s="158" t="s">
        <v>25</v>
      </c>
      <c r="C282" s="155" t="s">
        <v>1705</v>
      </c>
      <c r="D282" s="171" t="s">
        <v>49</v>
      </c>
      <c r="E282" s="341"/>
      <c r="F282" s="171" t="s">
        <v>1706</v>
      </c>
      <c r="G282" s="155">
        <v>44388</v>
      </c>
      <c r="H282" s="176">
        <v>45960421.799999997</v>
      </c>
      <c r="I282" s="176">
        <v>35248787.359999999</v>
      </c>
      <c r="J282" s="176">
        <v>10000000</v>
      </c>
      <c r="K282" s="176">
        <v>0</v>
      </c>
      <c r="L282" s="176">
        <v>9204000</v>
      </c>
      <c r="M282" s="176">
        <v>796000</v>
      </c>
      <c r="N282" s="176">
        <v>0</v>
      </c>
      <c r="O282" s="176">
        <v>0</v>
      </c>
      <c r="P282" s="27"/>
    </row>
    <row r="283" spans="1:16" s="31" customFormat="1" ht="47.25">
      <c r="A283" s="24">
        <v>5</v>
      </c>
      <c r="B283" s="158" t="s">
        <v>25</v>
      </c>
      <c r="C283" s="155" t="s">
        <v>1705</v>
      </c>
      <c r="D283" s="171" t="s">
        <v>49</v>
      </c>
      <c r="E283" s="341"/>
      <c r="F283" s="155">
        <v>44090</v>
      </c>
      <c r="G283" s="155">
        <v>44629</v>
      </c>
      <c r="H283" s="176">
        <v>35677005</v>
      </c>
      <c r="I283" s="176">
        <v>25353941</v>
      </c>
      <c r="J283" s="176">
        <v>10323064</v>
      </c>
      <c r="K283" s="176">
        <v>0</v>
      </c>
      <c r="L283" s="176">
        <v>3540000</v>
      </c>
      <c r="M283" s="176">
        <v>3500000</v>
      </c>
      <c r="N283" s="176">
        <v>3283064</v>
      </c>
      <c r="O283" s="176">
        <v>0</v>
      </c>
      <c r="P283" s="27"/>
    </row>
    <row r="284" spans="1:16" s="31" customFormat="1" ht="47.25">
      <c r="A284" s="24">
        <v>6</v>
      </c>
      <c r="B284" s="158" t="s">
        <v>25</v>
      </c>
      <c r="C284" s="155" t="s">
        <v>1705</v>
      </c>
      <c r="D284" s="171" t="s">
        <v>49</v>
      </c>
      <c r="E284" s="341"/>
      <c r="F284" s="155">
        <v>44230</v>
      </c>
      <c r="G284" s="155">
        <v>44561</v>
      </c>
      <c r="H284" s="176">
        <v>5883379.7000000002</v>
      </c>
      <c r="I284" s="176">
        <v>0</v>
      </c>
      <c r="J284" s="176">
        <v>5883379.7000000002</v>
      </c>
      <c r="K284" s="176">
        <v>0</v>
      </c>
      <c r="L284" s="176">
        <v>0</v>
      </c>
      <c r="M284" s="176">
        <v>1883379.7</v>
      </c>
      <c r="N284" s="176">
        <v>2500000</v>
      </c>
      <c r="O284" s="176">
        <v>1500000</v>
      </c>
      <c r="P284" s="27"/>
    </row>
    <row r="285" spans="1:16" s="31" customFormat="1" ht="15.75">
      <c r="A285" s="24">
        <v>7</v>
      </c>
      <c r="B285" s="158" t="s">
        <v>25</v>
      </c>
      <c r="C285" s="155" t="s">
        <v>1171</v>
      </c>
      <c r="D285" s="171" t="s">
        <v>49</v>
      </c>
      <c r="E285" s="341"/>
      <c r="F285" s="155">
        <v>44251</v>
      </c>
      <c r="G285" s="155">
        <v>44650</v>
      </c>
      <c r="H285" s="176">
        <v>7360840</v>
      </c>
      <c r="I285" s="176">
        <v>0</v>
      </c>
      <c r="J285" s="176">
        <v>7360840</v>
      </c>
      <c r="K285" s="176">
        <v>0</v>
      </c>
      <c r="L285" s="176">
        <v>0</v>
      </c>
      <c r="M285" s="176">
        <f>2000000*1.18</f>
        <v>2360000</v>
      </c>
      <c r="N285" s="176">
        <f>2000000*1.18</f>
        <v>2360000</v>
      </c>
      <c r="O285" s="176">
        <f>2238000*1.18</f>
        <v>2640840</v>
      </c>
      <c r="P285" s="27"/>
    </row>
    <row r="286" spans="1:16" s="31" customFormat="1" ht="15.75">
      <c r="A286" s="24">
        <v>8</v>
      </c>
      <c r="B286" s="158" t="s">
        <v>25</v>
      </c>
      <c r="C286" s="155" t="s">
        <v>1171</v>
      </c>
      <c r="D286" s="171" t="s">
        <v>49</v>
      </c>
      <c r="E286" s="341"/>
      <c r="F286" s="155">
        <v>44286</v>
      </c>
      <c r="G286" s="155">
        <v>44525</v>
      </c>
      <c r="H286" s="176">
        <v>7434000</v>
      </c>
      <c r="I286" s="176">
        <v>0</v>
      </c>
      <c r="J286" s="176">
        <v>7434000</v>
      </c>
      <c r="K286" s="176">
        <v>0</v>
      </c>
      <c r="L286" s="176">
        <v>0</v>
      </c>
      <c r="M286" s="176">
        <f>2000000*1.18</f>
        <v>2360000</v>
      </c>
      <c r="N286" s="176">
        <f>2300000*1.18</f>
        <v>2714000</v>
      </c>
      <c r="O286" s="176">
        <f>2000000*1.18</f>
        <v>2360000</v>
      </c>
      <c r="P286" s="27"/>
    </row>
    <row r="287" spans="1:16" ht="54.75" customHeight="1">
      <c r="A287" s="742" t="s">
        <v>20</v>
      </c>
      <c r="B287" s="742"/>
      <c r="C287" s="742"/>
      <c r="D287" s="742"/>
      <c r="E287" s="742"/>
      <c r="F287" s="742"/>
      <c r="G287" s="742"/>
      <c r="H287" s="433">
        <f>SUM(H279:H286)</f>
        <v>154639997.09999999</v>
      </c>
      <c r="I287" s="434">
        <f t="shared" ref="I287:O287" si="39">SUM(I279:I286)</f>
        <v>85725837.060000002</v>
      </c>
      <c r="J287" s="433">
        <f t="shared" si="39"/>
        <v>68202525.599999994</v>
      </c>
      <c r="K287" s="433">
        <f t="shared" si="39"/>
        <v>3362815.92</v>
      </c>
      <c r="L287" s="433">
        <f t="shared" si="39"/>
        <v>18597565.990000002</v>
      </c>
      <c r="M287" s="433">
        <f t="shared" si="39"/>
        <v>18449431.050000001</v>
      </c>
      <c r="N287" s="433">
        <f t="shared" si="39"/>
        <v>10857064</v>
      </c>
      <c r="O287" s="433">
        <f t="shared" si="39"/>
        <v>6500840</v>
      </c>
      <c r="P287" s="138"/>
    </row>
    <row r="288" spans="1:16">
      <c r="A288" s="743"/>
      <c r="B288" s="743"/>
      <c r="C288" s="743"/>
      <c r="D288" s="743"/>
      <c r="E288" s="743"/>
      <c r="F288" s="743"/>
      <c r="G288" s="743"/>
      <c r="H288" s="743"/>
      <c r="I288" s="743"/>
      <c r="J288" s="743"/>
      <c r="K288" s="743"/>
      <c r="L288" s="743"/>
      <c r="M288" s="743"/>
      <c r="N288" s="743"/>
      <c r="O288" s="743"/>
      <c r="P288" s="207"/>
    </row>
    <row r="289" spans="1:16" s="15" customFormat="1" ht="54.75" customHeight="1">
      <c r="A289" s="680" t="s">
        <v>1713</v>
      </c>
      <c r="B289" s="680"/>
      <c r="C289" s="680"/>
      <c r="D289" s="680"/>
      <c r="E289" s="680"/>
      <c r="F289" s="680"/>
      <c r="G289" s="680"/>
      <c r="H289" s="680"/>
      <c r="I289" s="680"/>
      <c r="J289" s="680"/>
      <c r="K289" s="680"/>
      <c r="L289" s="680"/>
      <c r="M289" s="680"/>
      <c r="N289" s="680"/>
      <c r="O289" s="680"/>
      <c r="P289" s="680"/>
    </row>
    <row r="290" spans="1:16" s="102" customFormat="1" ht="31.5">
      <c r="A290" s="24">
        <v>1</v>
      </c>
      <c r="B290" s="158" t="s">
        <v>25</v>
      </c>
      <c r="C290" s="171" t="s">
        <v>1708</v>
      </c>
      <c r="D290" s="171" t="s">
        <v>842</v>
      </c>
      <c r="E290" s="171" t="s">
        <v>1295</v>
      </c>
      <c r="F290" s="155">
        <v>44214</v>
      </c>
      <c r="G290" s="155">
        <v>44553</v>
      </c>
      <c r="H290" s="176">
        <v>1279350</v>
      </c>
      <c r="I290" s="176">
        <v>150482.57</v>
      </c>
      <c r="J290" s="176">
        <f>H290-I290</f>
        <v>1128867.43</v>
      </c>
      <c r="K290" s="176">
        <v>0</v>
      </c>
      <c r="L290" s="176">
        <v>319837.5</v>
      </c>
      <c r="M290" s="176">
        <v>319837.5</v>
      </c>
      <c r="N290" s="176">
        <v>319837.5</v>
      </c>
      <c r="O290" s="176">
        <v>319837.5</v>
      </c>
      <c r="P290" s="27"/>
    </row>
    <row r="291" spans="1:16" s="102" customFormat="1" ht="31.5">
      <c r="A291" s="24">
        <v>2</v>
      </c>
      <c r="B291" s="158" t="s">
        <v>25</v>
      </c>
      <c r="C291" s="171" t="s">
        <v>1709</v>
      </c>
      <c r="D291" s="171" t="s">
        <v>842</v>
      </c>
      <c r="E291" s="171" t="s">
        <v>1295</v>
      </c>
      <c r="F291" s="155">
        <v>44069</v>
      </c>
      <c r="G291" s="155">
        <v>44293</v>
      </c>
      <c r="H291" s="176">
        <f>1840000*1.18</f>
        <v>2171200</v>
      </c>
      <c r="I291" s="176">
        <f>1555554.36*1.18</f>
        <v>1835554.1448000001</v>
      </c>
      <c r="J291" s="176">
        <f t="shared" ref="J291:J294" si="40">H291-I291</f>
        <v>335645.85519999987</v>
      </c>
      <c r="K291" s="176">
        <v>0</v>
      </c>
      <c r="L291" s="176">
        <v>542800</v>
      </c>
      <c r="M291" s="176">
        <v>542800</v>
      </c>
      <c r="N291" s="176">
        <v>542800</v>
      </c>
      <c r="O291" s="176">
        <v>542800</v>
      </c>
      <c r="P291" s="27"/>
    </row>
    <row r="292" spans="1:16" s="102" customFormat="1" ht="31.5">
      <c r="A292" s="24">
        <v>3</v>
      </c>
      <c r="B292" s="158" t="s">
        <v>25</v>
      </c>
      <c r="C292" s="171" t="s">
        <v>1710</v>
      </c>
      <c r="D292" s="171" t="s">
        <v>842</v>
      </c>
      <c r="E292" s="171" t="s">
        <v>1295</v>
      </c>
      <c r="F292" s="155">
        <v>44091</v>
      </c>
      <c r="G292" s="155">
        <v>44330</v>
      </c>
      <c r="H292" s="176">
        <f>3390300*1.18</f>
        <v>4000554</v>
      </c>
      <c r="I292" s="176">
        <f>1110738.52*1.18</f>
        <v>1310671.4535999999</v>
      </c>
      <c r="J292" s="176">
        <f t="shared" si="40"/>
        <v>2689882.5464000003</v>
      </c>
      <c r="K292" s="176">
        <v>0</v>
      </c>
      <c r="L292" s="176">
        <v>1038000.5</v>
      </c>
      <c r="M292" s="176">
        <v>1038000.5</v>
      </c>
      <c r="N292" s="176">
        <v>1038000.5</v>
      </c>
      <c r="O292" s="176">
        <v>1038000.5</v>
      </c>
      <c r="P292" s="27"/>
    </row>
    <row r="293" spans="1:16" s="102" customFormat="1" ht="31.5">
      <c r="A293" s="24">
        <v>4</v>
      </c>
      <c r="B293" s="158" t="s">
        <v>25</v>
      </c>
      <c r="C293" s="171" t="s">
        <v>1711</v>
      </c>
      <c r="D293" s="171" t="s">
        <v>842</v>
      </c>
      <c r="E293" s="171" t="s">
        <v>1295</v>
      </c>
      <c r="F293" s="155">
        <v>44112</v>
      </c>
      <c r="G293" s="155">
        <v>44501</v>
      </c>
      <c r="H293" s="176">
        <f>27361000*1.18</f>
        <v>32285980</v>
      </c>
      <c r="I293" s="176">
        <f>4254833.67*1.18</f>
        <v>5020703.7305999994</v>
      </c>
      <c r="J293" s="176">
        <f t="shared" si="40"/>
        <v>27265276.269400001</v>
      </c>
      <c r="K293" s="176">
        <v>0</v>
      </c>
      <c r="L293" s="176">
        <v>8071495</v>
      </c>
      <c r="M293" s="176">
        <v>8071495</v>
      </c>
      <c r="N293" s="176">
        <v>8071495</v>
      </c>
      <c r="O293" s="176">
        <v>8071495</v>
      </c>
      <c r="P293" s="27"/>
    </row>
    <row r="294" spans="1:16" s="102" customFormat="1" ht="24" customHeight="1">
      <c r="A294" s="24">
        <v>5</v>
      </c>
      <c r="B294" s="158" t="s">
        <v>25</v>
      </c>
      <c r="C294" s="171" t="s">
        <v>1712</v>
      </c>
      <c r="D294" s="171" t="s">
        <v>842</v>
      </c>
      <c r="E294" s="171" t="s">
        <v>1295</v>
      </c>
      <c r="F294" s="155">
        <v>44229</v>
      </c>
      <c r="G294" s="155">
        <v>44408</v>
      </c>
      <c r="H294" s="176">
        <v>2028967.44</v>
      </c>
      <c r="I294" s="176">
        <v>0</v>
      </c>
      <c r="J294" s="176">
        <f t="shared" si="40"/>
        <v>2028967.44</v>
      </c>
      <c r="K294" s="176">
        <v>0</v>
      </c>
      <c r="L294" s="176">
        <v>507241.86</v>
      </c>
      <c r="M294" s="176">
        <v>507241.86</v>
      </c>
      <c r="N294" s="176">
        <v>507241.86</v>
      </c>
      <c r="O294" s="176">
        <v>507241.86</v>
      </c>
      <c r="P294" s="27"/>
    </row>
    <row r="295" spans="1:16" s="22" customFormat="1" ht="47.25" customHeight="1">
      <c r="A295" s="742" t="s">
        <v>20</v>
      </c>
      <c r="B295" s="742"/>
      <c r="C295" s="742"/>
      <c r="D295" s="742"/>
      <c r="E295" s="742"/>
      <c r="F295" s="742"/>
      <c r="G295" s="742"/>
      <c r="H295" s="433">
        <f>SUM(H290:H294)</f>
        <v>41766051.439999998</v>
      </c>
      <c r="I295" s="434">
        <f t="shared" ref="I295:O295" si="41">SUM(I290:I294)</f>
        <v>8317411.8989999993</v>
      </c>
      <c r="J295" s="433">
        <f t="shared" si="41"/>
        <v>33448639.541000001</v>
      </c>
      <c r="K295" s="433">
        <f t="shared" si="41"/>
        <v>0</v>
      </c>
      <c r="L295" s="433">
        <f t="shared" si="41"/>
        <v>10479374.859999999</v>
      </c>
      <c r="M295" s="433">
        <f t="shared" si="41"/>
        <v>10479374.859999999</v>
      </c>
      <c r="N295" s="433">
        <f t="shared" si="41"/>
        <v>10479374.859999999</v>
      </c>
      <c r="O295" s="433">
        <f t="shared" si="41"/>
        <v>10479374.859999999</v>
      </c>
      <c r="P295" s="138"/>
    </row>
    <row r="296" spans="1:16">
      <c r="A296" s="743"/>
      <c r="B296" s="743"/>
      <c r="C296" s="743"/>
      <c r="D296" s="743"/>
      <c r="E296" s="743"/>
      <c r="F296" s="743"/>
      <c r="G296" s="743"/>
      <c r="H296" s="743"/>
      <c r="I296" s="743"/>
      <c r="J296" s="743"/>
      <c r="K296" s="743"/>
      <c r="L296" s="743"/>
      <c r="M296" s="743"/>
      <c r="N296" s="743"/>
      <c r="O296" s="743"/>
      <c r="P296" s="743"/>
    </row>
    <row r="297" spans="1:16" ht="46.5" customHeight="1">
      <c r="A297" s="680" t="s">
        <v>1738</v>
      </c>
      <c r="B297" s="680"/>
      <c r="C297" s="680"/>
      <c r="D297" s="680"/>
      <c r="E297" s="680"/>
      <c r="F297" s="680"/>
      <c r="G297" s="680"/>
      <c r="H297" s="680"/>
      <c r="I297" s="680"/>
      <c r="J297" s="680"/>
      <c r="K297" s="680"/>
      <c r="L297" s="680"/>
      <c r="M297" s="680"/>
      <c r="N297" s="680"/>
      <c r="O297" s="680"/>
      <c r="P297" s="680"/>
    </row>
    <row r="298" spans="1:16" s="31" customFormat="1" ht="46.5" customHeight="1">
      <c r="A298" s="24">
        <v>1</v>
      </c>
      <c r="B298" s="24" t="s">
        <v>25</v>
      </c>
      <c r="C298" s="218" t="s">
        <v>1732</v>
      </c>
      <c r="D298" s="233" t="s">
        <v>803</v>
      </c>
      <c r="E298" s="243"/>
      <c r="F298" s="328">
        <v>42615</v>
      </c>
      <c r="G298" s="328">
        <v>44261</v>
      </c>
      <c r="H298" s="176">
        <v>8331708.5300000003</v>
      </c>
      <c r="I298" s="176"/>
      <c r="J298" s="176">
        <v>5208189.32</v>
      </c>
      <c r="K298" s="176"/>
      <c r="L298" s="176">
        <f>J298/4</f>
        <v>1302047.33</v>
      </c>
      <c r="M298" s="176">
        <v>1302047</v>
      </c>
      <c r="N298" s="176">
        <v>1302047</v>
      </c>
      <c r="O298" s="176">
        <v>1302047</v>
      </c>
      <c r="P298" s="25"/>
    </row>
    <row r="299" spans="1:16" s="31" customFormat="1" ht="42" customHeight="1">
      <c r="A299" s="24">
        <v>2</v>
      </c>
      <c r="B299" s="24" t="s">
        <v>25</v>
      </c>
      <c r="C299" s="218" t="s">
        <v>1733</v>
      </c>
      <c r="D299" s="233" t="s">
        <v>803</v>
      </c>
      <c r="E299" s="243"/>
      <c r="F299" s="328">
        <v>42983</v>
      </c>
      <c r="G299" s="328">
        <v>44363</v>
      </c>
      <c r="H299" s="176">
        <v>24199532.359999999</v>
      </c>
      <c r="I299" s="176"/>
      <c r="J299" s="176">
        <v>16296900.779999999</v>
      </c>
      <c r="K299" s="176"/>
      <c r="L299" s="176">
        <f t="shared" ref="L299:L303" si="42">J299/4</f>
        <v>4074225.1949999998</v>
      </c>
      <c r="M299" s="176">
        <v>4074225</v>
      </c>
      <c r="N299" s="176">
        <v>4074225</v>
      </c>
      <c r="O299" s="176">
        <v>4074225</v>
      </c>
      <c r="P299" s="25"/>
    </row>
    <row r="300" spans="1:16" s="31" customFormat="1" ht="57.75" customHeight="1">
      <c r="A300" s="24">
        <v>3</v>
      </c>
      <c r="B300" s="24" t="s">
        <v>25</v>
      </c>
      <c r="C300" s="218" t="s">
        <v>1734</v>
      </c>
      <c r="D300" s="233" t="s">
        <v>803</v>
      </c>
      <c r="E300" s="243"/>
      <c r="F300" s="328">
        <v>43294</v>
      </c>
      <c r="G300" s="328">
        <v>44250</v>
      </c>
      <c r="H300" s="176">
        <v>13720653.189999999</v>
      </c>
      <c r="I300" s="176"/>
      <c r="J300" s="176">
        <v>5138640.4399999995</v>
      </c>
      <c r="K300" s="176"/>
      <c r="L300" s="176">
        <f t="shared" si="42"/>
        <v>1284660.1099999999</v>
      </c>
      <c r="M300" s="176">
        <v>1284660</v>
      </c>
      <c r="N300" s="176">
        <v>1284660</v>
      </c>
      <c r="O300" s="176">
        <v>1284660</v>
      </c>
      <c r="P300" s="25"/>
    </row>
    <row r="301" spans="1:16" s="31" customFormat="1" ht="36.75" customHeight="1">
      <c r="A301" s="24">
        <v>4</v>
      </c>
      <c r="B301" s="24" t="s">
        <v>25</v>
      </c>
      <c r="C301" s="218" t="s">
        <v>1735</v>
      </c>
      <c r="D301" s="233" t="s">
        <v>803</v>
      </c>
      <c r="E301" s="243"/>
      <c r="F301" s="328">
        <v>43318</v>
      </c>
      <c r="G301" s="328">
        <v>44235</v>
      </c>
      <c r="H301" s="176">
        <v>5670000</v>
      </c>
      <c r="I301" s="176"/>
      <c r="J301" s="176">
        <v>1813280.81</v>
      </c>
      <c r="K301" s="176"/>
      <c r="L301" s="176">
        <f t="shared" si="42"/>
        <v>453320.20250000001</v>
      </c>
      <c r="M301" s="176">
        <v>453320</v>
      </c>
      <c r="N301" s="176">
        <v>453320</v>
      </c>
      <c r="O301" s="176">
        <v>453320</v>
      </c>
      <c r="P301" s="25"/>
    </row>
    <row r="302" spans="1:16" s="31" customFormat="1" ht="39" customHeight="1">
      <c r="A302" s="24">
        <v>5</v>
      </c>
      <c r="B302" s="24" t="s">
        <v>25</v>
      </c>
      <c r="C302" s="218" t="s">
        <v>1736</v>
      </c>
      <c r="D302" s="233" t="s">
        <v>803</v>
      </c>
      <c r="E302" s="243"/>
      <c r="F302" s="328">
        <v>43503</v>
      </c>
      <c r="G302" s="328">
        <v>44202</v>
      </c>
      <c r="H302" s="176">
        <v>13151710.470000001</v>
      </c>
      <c r="I302" s="176"/>
      <c r="J302" s="176">
        <v>604607.43000000156</v>
      </c>
      <c r="K302" s="176"/>
      <c r="L302" s="176">
        <f t="shared" si="42"/>
        <v>151151.85750000039</v>
      </c>
      <c r="M302" s="176">
        <v>151152</v>
      </c>
      <c r="N302" s="176">
        <v>151152</v>
      </c>
      <c r="O302" s="176">
        <v>151152</v>
      </c>
      <c r="P302" s="25"/>
    </row>
    <row r="303" spans="1:16" s="31" customFormat="1" ht="78.75" customHeight="1">
      <c r="A303" s="24">
        <v>6</v>
      </c>
      <c r="B303" s="24" t="s">
        <v>25</v>
      </c>
      <c r="C303" s="218" t="s">
        <v>1737</v>
      </c>
      <c r="D303" s="233" t="s">
        <v>803</v>
      </c>
      <c r="E303" s="243"/>
      <c r="F303" s="328">
        <v>44221</v>
      </c>
      <c r="G303" s="328">
        <v>44580</v>
      </c>
      <c r="H303" s="176">
        <v>19895525.09</v>
      </c>
      <c r="I303" s="176"/>
      <c r="J303" s="176">
        <v>18440089.670000002</v>
      </c>
      <c r="K303" s="176"/>
      <c r="L303" s="176">
        <f t="shared" si="42"/>
        <v>4610022.4175000004</v>
      </c>
      <c r="M303" s="176">
        <v>4610022</v>
      </c>
      <c r="N303" s="176">
        <v>4610022</v>
      </c>
      <c r="O303" s="176">
        <v>4610022</v>
      </c>
      <c r="P303" s="25"/>
    </row>
    <row r="304" spans="1:16" ht="39.75" customHeight="1">
      <c r="A304" s="742" t="s">
        <v>20</v>
      </c>
      <c r="B304" s="742"/>
      <c r="C304" s="742"/>
      <c r="D304" s="742"/>
      <c r="E304" s="742"/>
      <c r="F304" s="742"/>
      <c r="G304" s="742"/>
      <c r="H304" s="433">
        <f>SUM(H298:H303)</f>
        <v>84969129.640000001</v>
      </c>
      <c r="I304" s="434">
        <f t="shared" ref="I304:O304" si="43">SUM(I298:I303)</f>
        <v>0</v>
      </c>
      <c r="J304" s="433">
        <f t="shared" si="43"/>
        <v>47501708.450000003</v>
      </c>
      <c r="K304" s="433">
        <f t="shared" si="43"/>
        <v>0</v>
      </c>
      <c r="L304" s="433">
        <f t="shared" si="43"/>
        <v>11875427.112500001</v>
      </c>
      <c r="M304" s="433">
        <f t="shared" si="43"/>
        <v>11875426</v>
      </c>
      <c r="N304" s="433">
        <f t="shared" si="43"/>
        <v>11875426</v>
      </c>
      <c r="O304" s="433">
        <f t="shared" si="43"/>
        <v>11875426</v>
      </c>
      <c r="P304" s="138"/>
    </row>
    <row r="305" spans="1:16" s="23" customFormat="1" ht="13.5" customHeight="1">
      <c r="A305" s="356"/>
      <c r="B305" s="356"/>
      <c r="C305" s="362"/>
      <c r="D305" s="356"/>
      <c r="E305" s="362"/>
      <c r="F305" s="356"/>
      <c r="G305" s="356"/>
      <c r="H305" s="459"/>
      <c r="I305" s="459"/>
      <c r="J305" s="459"/>
      <c r="K305" s="459"/>
      <c r="L305" s="459"/>
      <c r="M305" s="459"/>
      <c r="N305" s="459"/>
      <c r="O305" s="459"/>
      <c r="P305" s="361"/>
    </row>
    <row r="306" spans="1:16" ht="43.5" customHeight="1">
      <c r="A306" s="680" t="s">
        <v>1746</v>
      </c>
      <c r="B306" s="680"/>
      <c r="C306" s="680"/>
      <c r="D306" s="680"/>
      <c r="E306" s="680"/>
      <c r="F306" s="750"/>
      <c r="G306" s="751"/>
      <c r="H306" s="751"/>
      <c r="I306" s="751"/>
      <c r="J306" s="751"/>
      <c r="K306" s="751"/>
      <c r="L306" s="751"/>
      <c r="M306" s="751"/>
      <c r="N306" s="751"/>
      <c r="O306" s="751"/>
      <c r="P306" s="752"/>
    </row>
    <row r="307" spans="1:16" s="31" customFormat="1" ht="30" customHeight="1">
      <c r="A307" s="24">
        <v>1</v>
      </c>
      <c r="B307" s="24" t="s">
        <v>25</v>
      </c>
      <c r="C307" s="160" t="s">
        <v>1740</v>
      </c>
      <c r="D307" s="165" t="s">
        <v>50</v>
      </c>
      <c r="E307" s="165" t="s">
        <v>1741</v>
      </c>
      <c r="F307" s="171">
        <v>2021</v>
      </c>
      <c r="G307" s="171">
        <v>2021</v>
      </c>
      <c r="H307" s="176">
        <v>10500000</v>
      </c>
      <c r="I307" s="176"/>
      <c r="J307" s="176">
        <f>H307</f>
        <v>10500000</v>
      </c>
      <c r="K307" s="176"/>
      <c r="L307" s="176">
        <f>J307/4</f>
        <v>2625000</v>
      </c>
      <c r="M307" s="176">
        <v>2625000</v>
      </c>
      <c r="N307" s="176">
        <v>2625000</v>
      </c>
      <c r="O307" s="176">
        <v>2625000</v>
      </c>
      <c r="P307" s="134"/>
    </row>
    <row r="308" spans="1:16" s="31" customFormat="1" ht="30" customHeight="1">
      <c r="A308" s="24">
        <v>2</v>
      </c>
      <c r="B308" s="24" t="s">
        <v>25</v>
      </c>
      <c r="C308" s="161" t="s">
        <v>1742</v>
      </c>
      <c r="D308" s="165" t="s">
        <v>50</v>
      </c>
      <c r="E308" s="171" t="s">
        <v>1743</v>
      </c>
      <c r="F308" s="171">
        <v>2021</v>
      </c>
      <c r="G308" s="171">
        <v>2021</v>
      </c>
      <c r="H308" s="176">
        <v>6000000</v>
      </c>
      <c r="I308" s="176"/>
      <c r="J308" s="176">
        <f t="shared" ref="J308:J309" si="44">H308</f>
        <v>6000000</v>
      </c>
      <c r="K308" s="176"/>
      <c r="L308" s="176">
        <f t="shared" ref="L308:L309" si="45">J308/4</f>
        <v>1500000</v>
      </c>
      <c r="M308" s="176">
        <v>1500000</v>
      </c>
      <c r="N308" s="176">
        <v>1500000</v>
      </c>
      <c r="O308" s="176">
        <v>1500000</v>
      </c>
      <c r="P308" s="134"/>
    </row>
    <row r="309" spans="1:16" s="31" customFormat="1" ht="30" customHeight="1">
      <c r="A309" s="24">
        <v>3</v>
      </c>
      <c r="B309" s="24" t="s">
        <v>25</v>
      </c>
      <c r="C309" s="161" t="s">
        <v>1744</v>
      </c>
      <c r="D309" s="165" t="s">
        <v>50</v>
      </c>
      <c r="E309" s="171" t="s">
        <v>1745</v>
      </c>
      <c r="F309" s="171">
        <v>2021</v>
      </c>
      <c r="G309" s="171">
        <v>2021</v>
      </c>
      <c r="H309" s="176">
        <v>5665000</v>
      </c>
      <c r="I309" s="176"/>
      <c r="J309" s="176">
        <f t="shared" si="44"/>
        <v>5665000</v>
      </c>
      <c r="K309" s="176"/>
      <c r="L309" s="176">
        <f t="shared" si="45"/>
        <v>1416250</v>
      </c>
      <c r="M309" s="176">
        <v>1416250</v>
      </c>
      <c r="N309" s="176">
        <v>1416250</v>
      </c>
      <c r="O309" s="176">
        <v>1416250</v>
      </c>
      <c r="P309" s="134"/>
    </row>
    <row r="310" spans="1:16" ht="45.75" customHeight="1">
      <c r="A310" s="742" t="s">
        <v>20</v>
      </c>
      <c r="B310" s="742"/>
      <c r="C310" s="742"/>
      <c r="D310" s="742"/>
      <c r="E310" s="742"/>
      <c r="F310" s="742"/>
      <c r="G310" s="742"/>
      <c r="H310" s="433">
        <f>SUM(H307:H309)</f>
        <v>22165000</v>
      </c>
      <c r="I310" s="434">
        <f>SUM(I307:I309)</f>
        <v>0</v>
      </c>
      <c r="J310" s="433">
        <f>SUM(J307:J309)</f>
        <v>22165000</v>
      </c>
      <c r="K310" s="433"/>
      <c r="L310" s="433">
        <f>SUM(L307:L309)</f>
        <v>5541250</v>
      </c>
      <c r="M310" s="433">
        <f>SUM(M307:M309)</f>
        <v>5541250</v>
      </c>
      <c r="N310" s="433">
        <f>SUM(N307:N309)</f>
        <v>5541250</v>
      </c>
      <c r="O310" s="433">
        <f>SUM(O307:O309)</f>
        <v>5541250</v>
      </c>
      <c r="P310" s="138"/>
    </row>
    <row r="311" spans="1:16">
      <c r="A311" s="743"/>
      <c r="B311" s="743"/>
      <c r="C311" s="743"/>
      <c r="D311" s="743"/>
      <c r="E311" s="743"/>
      <c r="F311" s="743"/>
      <c r="G311" s="743"/>
      <c r="H311" s="743"/>
      <c r="I311" s="743"/>
      <c r="J311" s="743"/>
      <c r="K311" s="743"/>
      <c r="L311" s="743"/>
      <c r="M311" s="743"/>
      <c r="N311" s="743"/>
      <c r="O311" s="743"/>
      <c r="P311" s="743"/>
    </row>
    <row r="312" spans="1:16" ht="46.5" customHeight="1">
      <c r="A312" s="680" t="s">
        <v>1815</v>
      </c>
      <c r="B312" s="680"/>
      <c r="C312" s="680"/>
      <c r="D312" s="680"/>
      <c r="E312" s="680"/>
      <c r="F312" s="750"/>
      <c r="G312" s="751"/>
      <c r="H312" s="751"/>
      <c r="I312" s="751"/>
      <c r="J312" s="751"/>
      <c r="K312" s="751"/>
      <c r="L312" s="751"/>
      <c r="M312" s="751"/>
      <c r="N312" s="751"/>
      <c r="O312" s="751"/>
      <c r="P312" s="752"/>
    </row>
    <row r="313" spans="1:16" s="31" customFormat="1" ht="56.25" customHeight="1">
      <c r="A313" s="26">
        <v>1</v>
      </c>
      <c r="B313" s="26" t="s">
        <v>1814</v>
      </c>
      <c r="C313" s="160" t="s">
        <v>1805</v>
      </c>
      <c r="D313" s="165" t="s">
        <v>37</v>
      </c>
      <c r="E313" s="165" t="s">
        <v>1701</v>
      </c>
      <c r="F313" s="162">
        <v>44232</v>
      </c>
      <c r="G313" s="162">
        <v>44552</v>
      </c>
      <c r="H313" s="176">
        <v>5295627.5999999996</v>
      </c>
      <c r="I313" s="176">
        <v>5295627.5999999996</v>
      </c>
      <c r="J313" s="176">
        <v>22880000</v>
      </c>
      <c r="K313" s="176"/>
      <c r="L313" s="176">
        <v>982935.19740000006</v>
      </c>
      <c r="M313" s="176">
        <v>1855650</v>
      </c>
      <c r="N313" s="176">
        <v>1550950</v>
      </c>
      <c r="O313" s="176">
        <f>I313-(L313+M313+N313)</f>
        <v>906092.40259999968</v>
      </c>
      <c r="P313" s="27"/>
    </row>
    <row r="314" spans="1:16" s="31" customFormat="1" ht="59.25" customHeight="1">
      <c r="A314" s="26">
        <v>2</v>
      </c>
      <c r="B314" s="26" t="s">
        <v>1814</v>
      </c>
      <c r="C314" s="161" t="s">
        <v>1806</v>
      </c>
      <c r="D314" s="165" t="s">
        <v>37</v>
      </c>
      <c r="E314" s="165" t="s">
        <v>1701</v>
      </c>
      <c r="F314" s="162">
        <v>44232</v>
      </c>
      <c r="G314" s="162">
        <v>44552</v>
      </c>
      <c r="H314" s="176">
        <v>3049714.7199999997</v>
      </c>
      <c r="I314" s="176">
        <v>3049714.7199999997</v>
      </c>
      <c r="J314" s="176">
        <v>22880000</v>
      </c>
      <c r="K314" s="176"/>
      <c r="L314" s="176">
        <v>370407.92359999998</v>
      </c>
      <c r="M314" s="176">
        <v>1100875</v>
      </c>
      <c r="N314" s="176">
        <v>875500</v>
      </c>
      <c r="O314" s="176">
        <f>I314-(L314+M314+N314)</f>
        <v>702931.79639999988</v>
      </c>
      <c r="P314" s="27"/>
    </row>
    <row r="315" spans="1:16" s="31" customFormat="1" ht="56.25" customHeight="1">
      <c r="A315" s="26">
        <v>3</v>
      </c>
      <c r="B315" s="26" t="s">
        <v>1814</v>
      </c>
      <c r="C315" s="161" t="s">
        <v>1807</v>
      </c>
      <c r="D315" s="165" t="s">
        <v>37</v>
      </c>
      <c r="E315" s="165" t="s">
        <v>1701</v>
      </c>
      <c r="F315" s="162">
        <v>44230</v>
      </c>
      <c r="G315" s="162">
        <v>44550</v>
      </c>
      <c r="H315" s="176">
        <v>3389048.5</v>
      </c>
      <c r="I315" s="176">
        <v>3389048.5</v>
      </c>
      <c r="J315" s="176">
        <v>22880000</v>
      </c>
      <c r="K315" s="176"/>
      <c r="L315" s="176">
        <v>413031.86</v>
      </c>
      <c r="M315" s="176">
        <v>1150250</v>
      </c>
      <c r="N315" s="176">
        <v>945650</v>
      </c>
      <c r="O315" s="176">
        <f t="shared" ref="O315" si="46">I315-(L315+M315+N315)</f>
        <v>880116.64000000013</v>
      </c>
      <c r="P315" s="27"/>
    </row>
    <row r="316" spans="1:16" s="31" customFormat="1" ht="43.5" customHeight="1">
      <c r="A316" s="26">
        <v>4</v>
      </c>
      <c r="B316" s="26" t="s">
        <v>1814</v>
      </c>
      <c r="C316" s="161" t="s">
        <v>1808</v>
      </c>
      <c r="D316" s="165" t="s">
        <v>37</v>
      </c>
      <c r="E316" s="165" t="s">
        <v>1701</v>
      </c>
      <c r="F316" s="162">
        <v>44230</v>
      </c>
      <c r="G316" s="162">
        <v>44305</v>
      </c>
      <c r="H316" s="176">
        <v>2947710.8</v>
      </c>
      <c r="I316" s="176">
        <v>2947710.8</v>
      </c>
      <c r="J316" s="176">
        <v>22880000</v>
      </c>
      <c r="K316" s="176"/>
      <c r="L316" s="176">
        <v>0</v>
      </c>
      <c r="M316" s="176">
        <v>2947710.8</v>
      </c>
      <c r="N316" s="176">
        <v>0</v>
      </c>
      <c r="O316" s="176">
        <v>0</v>
      </c>
      <c r="P316" s="27"/>
    </row>
    <row r="317" spans="1:16" s="31" customFormat="1" ht="43.5" customHeight="1">
      <c r="A317" s="26">
        <v>5</v>
      </c>
      <c r="B317" s="26" t="s">
        <v>1814</v>
      </c>
      <c r="C317" s="160" t="s">
        <v>1809</v>
      </c>
      <c r="D317" s="165" t="s">
        <v>37</v>
      </c>
      <c r="E317" s="165" t="s">
        <v>1810</v>
      </c>
      <c r="F317" s="162">
        <v>43614</v>
      </c>
      <c r="G317" s="162">
        <v>44303</v>
      </c>
      <c r="H317" s="176">
        <v>175058520</v>
      </c>
      <c r="I317" s="176">
        <v>146367886.99599999</v>
      </c>
      <c r="J317" s="176">
        <v>28690633</v>
      </c>
      <c r="K317" s="176"/>
      <c r="L317" s="176">
        <v>25666485.109999999</v>
      </c>
      <c r="M317" s="176">
        <f>J317-L317+8405880.97</f>
        <v>11430028.860000001</v>
      </c>
      <c r="N317" s="176">
        <v>0</v>
      </c>
      <c r="O317" s="176">
        <v>0</v>
      </c>
      <c r="P317" s="27"/>
    </row>
    <row r="318" spans="1:16" s="31" customFormat="1" ht="43.5" customHeight="1">
      <c r="A318" s="26">
        <v>6</v>
      </c>
      <c r="B318" s="26" t="s">
        <v>36</v>
      </c>
      <c r="C318" s="160" t="s">
        <v>1811</v>
      </c>
      <c r="D318" s="165" t="s">
        <v>37</v>
      </c>
      <c r="E318" s="165" t="s">
        <v>1810</v>
      </c>
      <c r="F318" s="162">
        <v>44139</v>
      </c>
      <c r="G318" s="162">
        <v>44348</v>
      </c>
      <c r="H318" s="176">
        <v>2785923.9263999998</v>
      </c>
      <c r="I318" s="176">
        <v>556960.05900000001</v>
      </c>
      <c r="J318" s="176">
        <v>2228963.8673999999</v>
      </c>
      <c r="K318" s="176"/>
      <c r="L318" s="176">
        <v>347835.27</v>
      </c>
      <c r="M318" s="176">
        <f>H318-904795.33</f>
        <v>1881128.5963999997</v>
      </c>
      <c r="N318" s="176">
        <v>0</v>
      </c>
      <c r="O318" s="176">
        <v>0</v>
      </c>
      <c r="P318" s="27"/>
    </row>
    <row r="319" spans="1:16" s="31" customFormat="1" ht="43.5" customHeight="1">
      <c r="A319" s="26">
        <v>7</v>
      </c>
      <c r="B319" s="26" t="s">
        <v>1814</v>
      </c>
      <c r="C319" s="160" t="s">
        <v>1812</v>
      </c>
      <c r="D319" s="165" t="s">
        <v>37</v>
      </c>
      <c r="E319" s="165" t="s">
        <v>1810</v>
      </c>
      <c r="F319" s="162">
        <v>44264</v>
      </c>
      <c r="G319" s="162">
        <v>44503</v>
      </c>
      <c r="H319" s="176">
        <v>5003200</v>
      </c>
      <c r="I319" s="176"/>
      <c r="J319" s="176">
        <v>5003200</v>
      </c>
      <c r="K319" s="176"/>
      <c r="L319" s="176">
        <v>0</v>
      </c>
      <c r="M319" s="176">
        <f>J319/3</f>
        <v>1667733.3333333333</v>
      </c>
      <c r="N319" s="176">
        <v>1413333.3333333333</v>
      </c>
      <c r="O319" s="176">
        <v>1413333.3333333333</v>
      </c>
      <c r="P319" s="27"/>
    </row>
    <row r="320" spans="1:16" s="31" customFormat="1" ht="43.5" customHeight="1">
      <c r="A320" s="26">
        <v>8</v>
      </c>
      <c r="B320" s="26" t="s">
        <v>36</v>
      </c>
      <c r="C320" s="160" t="s">
        <v>1813</v>
      </c>
      <c r="D320" s="165" t="s">
        <v>37</v>
      </c>
      <c r="E320" s="165" t="s">
        <v>1810</v>
      </c>
      <c r="F320" s="162">
        <v>44152</v>
      </c>
      <c r="G320" s="162">
        <v>44301</v>
      </c>
      <c r="H320" s="176">
        <v>4608381.2275999999</v>
      </c>
      <c r="I320" s="176">
        <v>2395135.6091999998</v>
      </c>
      <c r="J320" s="176">
        <v>2213245.6184</v>
      </c>
      <c r="K320" s="176"/>
      <c r="L320" s="176">
        <f>1425699.98*1.18</f>
        <v>1682325.9763999998</v>
      </c>
      <c r="M320" s="176">
        <v>125000</v>
      </c>
      <c r="N320" s="176">
        <v>125000</v>
      </c>
      <c r="O320" s="176">
        <v>125000</v>
      </c>
      <c r="P320" s="27"/>
    </row>
    <row r="321" spans="1:16" ht="42" customHeight="1">
      <c r="A321" s="742" t="s">
        <v>20</v>
      </c>
      <c r="B321" s="742"/>
      <c r="C321" s="742"/>
      <c r="D321" s="742"/>
      <c r="E321" s="742"/>
      <c r="F321" s="742"/>
      <c r="G321" s="742"/>
      <c r="H321" s="433">
        <f>SUM(H313:H320)</f>
        <v>202138126.77400002</v>
      </c>
      <c r="I321" s="433">
        <f t="shared" ref="I321:O321" si="47">SUM(I313:I320)</f>
        <v>164002084.28419998</v>
      </c>
      <c r="J321" s="433">
        <f t="shared" si="47"/>
        <v>129656042.4858</v>
      </c>
      <c r="K321" s="433">
        <f t="shared" si="47"/>
        <v>0</v>
      </c>
      <c r="L321" s="433">
        <f t="shared" si="47"/>
        <v>29463021.337399997</v>
      </c>
      <c r="M321" s="433">
        <f t="shared" si="47"/>
        <v>22158376.589733332</v>
      </c>
      <c r="N321" s="433">
        <f t="shared" si="47"/>
        <v>4910433.333333333</v>
      </c>
      <c r="O321" s="433">
        <f t="shared" si="47"/>
        <v>4027474.1723333327</v>
      </c>
      <c r="P321" s="138"/>
    </row>
    <row r="322" spans="1:16">
      <c r="A322" s="743"/>
      <c r="B322" s="743"/>
      <c r="C322" s="743"/>
      <c r="D322" s="743"/>
      <c r="E322" s="743"/>
      <c r="F322" s="743"/>
      <c r="G322" s="743"/>
      <c r="H322" s="743"/>
      <c r="I322" s="743"/>
      <c r="J322" s="743"/>
      <c r="K322" s="743"/>
      <c r="L322" s="743"/>
      <c r="M322" s="743"/>
      <c r="N322" s="743"/>
      <c r="O322" s="743"/>
      <c r="P322" s="743"/>
    </row>
    <row r="323" spans="1:16" ht="47.25" customHeight="1">
      <c r="A323" s="680" t="s">
        <v>1816</v>
      </c>
      <c r="B323" s="680"/>
      <c r="C323" s="680"/>
      <c r="D323" s="680"/>
      <c r="E323" s="680"/>
      <c r="F323" s="750"/>
      <c r="G323" s="751"/>
      <c r="H323" s="751"/>
      <c r="I323" s="751"/>
      <c r="J323" s="751"/>
      <c r="K323" s="751"/>
      <c r="L323" s="751"/>
      <c r="M323" s="751"/>
      <c r="N323" s="751"/>
      <c r="O323" s="751"/>
      <c r="P323" s="752"/>
    </row>
    <row r="324" spans="1:16" s="31" customFormat="1" ht="54" customHeight="1">
      <c r="A324" s="105">
        <v>1</v>
      </c>
      <c r="B324" s="171" t="s">
        <v>25</v>
      </c>
      <c r="C324" s="160" t="s">
        <v>1817</v>
      </c>
      <c r="D324" s="171" t="s">
        <v>32</v>
      </c>
      <c r="E324" s="140"/>
      <c r="F324" s="158">
        <v>2020</v>
      </c>
      <c r="G324" s="158">
        <v>2024</v>
      </c>
      <c r="H324" s="176">
        <v>3052550</v>
      </c>
      <c r="I324" s="176">
        <v>0</v>
      </c>
      <c r="J324" s="176">
        <v>1000000</v>
      </c>
      <c r="K324" s="176"/>
      <c r="L324" s="176">
        <v>250000</v>
      </c>
      <c r="M324" s="176">
        <v>250000</v>
      </c>
      <c r="N324" s="176">
        <v>250000</v>
      </c>
      <c r="O324" s="176">
        <v>250000</v>
      </c>
      <c r="P324" s="103"/>
    </row>
    <row r="325" spans="1:16" s="31" customFormat="1" ht="54" customHeight="1">
      <c r="A325" s="24">
        <v>2</v>
      </c>
      <c r="B325" s="171" t="s">
        <v>25</v>
      </c>
      <c r="C325" s="161" t="s">
        <v>1818</v>
      </c>
      <c r="D325" s="171" t="s">
        <v>32</v>
      </c>
      <c r="E325" s="171"/>
      <c r="F325" s="158">
        <v>2020</v>
      </c>
      <c r="G325" s="158">
        <v>2021</v>
      </c>
      <c r="H325" s="176">
        <v>10090000</v>
      </c>
      <c r="I325" s="176">
        <v>0</v>
      </c>
      <c r="J325" s="176">
        <v>7000000</v>
      </c>
      <c r="K325" s="176"/>
      <c r="L325" s="176">
        <v>1358000</v>
      </c>
      <c r="M325" s="176">
        <v>1880000</v>
      </c>
      <c r="N325" s="176">
        <v>1880000</v>
      </c>
      <c r="O325" s="176">
        <v>1880000</v>
      </c>
      <c r="P325" s="26"/>
    </row>
    <row r="326" spans="1:16" s="31" customFormat="1" ht="54" customHeight="1">
      <c r="A326" s="24">
        <v>3</v>
      </c>
      <c r="B326" s="171" t="s">
        <v>25</v>
      </c>
      <c r="C326" s="161" t="s">
        <v>1819</v>
      </c>
      <c r="D326" s="171" t="s">
        <v>32</v>
      </c>
      <c r="E326" s="171"/>
      <c r="F326" s="158">
        <v>2017</v>
      </c>
      <c r="G326" s="158">
        <v>2021</v>
      </c>
      <c r="H326" s="176">
        <v>49000000</v>
      </c>
      <c r="I326" s="176">
        <v>23257066</v>
      </c>
      <c r="J326" s="176">
        <v>8000000</v>
      </c>
      <c r="K326" s="176"/>
      <c r="L326" s="176">
        <v>2000000</v>
      </c>
      <c r="M326" s="176">
        <v>2000000</v>
      </c>
      <c r="N326" s="176">
        <v>2000000</v>
      </c>
      <c r="O326" s="176">
        <v>2000000</v>
      </c>
      <c r="P326" s="26"/>
    </row>
    <row r="327" spans="1:16" s="31" customFormat="1" ht="54" customHeight="1">
      <c r="A327" s="24">
        <v>4</v>
      </c>
      <c r="B327" s="171" t="s">
        <v>25</v>
      </c>
      <c r="C327" s="161" t="s">
        <v>1820</v>
      </c>
      <c r="D327" s="171" t="s">
        <v>32</v>
      </c>
      <c r="E327" s="171"/>
      <c r="F327" s="158">
        <v>2020</v>
      </c>
      <c r="G327" s="158">
        <v>2021</v>
      </c>
      <c r="H327" s="176">
        <v>2326000</v>
      </c>
      <c r="I327" s="176">
        <v>925000</v>
      </c>
      <c r="J327" s="176">
        <v>2000000</v>
      </c>
      <c r="K327" s="176"/>
      <c r="L327" s="176">
        <v>500000</v>
      </c>
      <c r="M327" s="176">
        <v>500000</v>
      </c>
      <c r="N327" s="176">
        <v>500000</v>
      </c>
      <c r="O327" s="176">
        <v>500000</v>
      </c>
      <c r="P327" s="26"/>
    </row>
    <row r="328" spans="1:16" ht="63" customHeight="1">
      <c r="A328" s="742" t="s">
        <v>20</v>
      </c>
      <c r="B328" s="742"/>
      <c r="C328" s="742"/>
      <c r="D328" s="742"/>
      <c r="E328" s="742"/>
      <c r="F328" s="742"/>
      <c r="G328" s="742"/>
      <c r="H328" s="433">
        <f>SUM(H324:H327)</f>
        <v>64468550</v>
      </c>
      <c r="I328" s="433">
        <f t="shared" ref="I328:O328" si="48">SUM(I324:I327)</f>
        <v>24182066</v>
      </c>
      <c r="J328" s="433">
        <f t="shared" si="48"/>
        <v>18000000</v>
      </c>
      <c r="K328" s="433">
        <f t="shared" si="48"/>
        <v>0</v>
      </c>
      <c r="L328" s="433">
        <f t="shared" si="48"/>
        <v>4108000</v>
      </c>
      <c r="M328" s="433">
        <f t="shared" si="48"/>
        <v>4630000</v>
      </c>
      <c r="N328" s="433">
        <f t="shared" si="48"/>
        <v>4630000</v>
      </c>
      <c r="O328" s="433">
        <f t="shared" si="48"/>
        <v>4630000</v>
      </c>
      <c r="P328" s="138"/>
    </row>
    <row r="329" spans="1:16">
      <c r="A329" s="743"/>
      <c r="B329" s="743"/>
      <c r="C329" s="743"/>
      <c r="D329" s="743"/>
      <c r="E329" s="743"/>
      <c r="F329" s="743"/>
      <c r="G329" s="743"/>
      <c r="H329" s="743"/>
      <c r="I329" s="743"/>
      <c r="J329" s="743"/>
      <c r="K329" s="743"/>
      <c r="L329" s="743"/>
      <c r="M329" s="743"/>
      <c r="N329" s="743"/>
      <c r="O329" s="743"/>
      <c r="P329" s="743"/>
    </row>
    <row r="330" spans="1:16" ht="15.75">
      <c r="A330" s="680" t="s">
        <v>1821</v>
      </c>
      <c r="B330" s="680"/>
      <c r="C330" s="680"/>
      <c r="D330" s="680"/>
      <c r="E330" s="680"/>
      <c r="F330" s="680"/>
      <c r="G330" s="680"/>
      <c r="H330" s="680"/>
      <c r="I330" s="680"/>
      <c r="J330" s="680"/>
      <c r="K330" s="680"/>
      <c r="L330" s="680"/>
      <c r="M330" s="680"/>
      <c r="N330" s="680"/>
      <c r="O330" s="680"/>
      <c r="P330" s="680"/>
    </row>
    <row r="331" spans="1:16" ht="39" customHeight="1">
      <c r="A331" s="24">
        <v>1</v>
      </c>
      <c r="B331" s="171" t="s">
        <v>40</v>
      </c>
      <c r="C331" s="140" t="s">
        <v>1822</v>
      </c>
      <c r="D331" s="158" t="s">
        <v>806</v>
      </c>
      <c r="E331" s="171"/>
      <c r="F331" s="158">
        <v>2021</v>
      </c>
      <c r="G331" s="158">
        <v>2021</v>
      </c>
      <c r="H331" s="176">
        <v>17310000</v>
      </c>
      <c r="I331" s="176"/>
      <c r="J331" s="176">
        <f>H331*0.6</f>
        <v>10386000</v>
      </c>
      <c r="K331" s="176"/>
      <c r="L331" s="176">
        <f>J331/4</f>
        <v>2596500</v>
      </c>
      <c r="M331" s="176">
        <v>2596500</v>
      </c>
      <c r="N331" s="176">
        <v>2596500</v>
      </c>
      <c r="O331" s="176">
        <v>2596500</v>
      </c>
      <c r="P331" s="25"/>
    </row>
    <row r="332" spans="1:16" ht="39" customHeight="1">
      <c r="A332" s="24">
        <v>2</v>
      </c>
      <c r="B332" s="171" t="s">
        <v>25</v>
      </c>
      <c r="C332" s="140" t="s">
        <v>1823</v>
      </c>
      <c r="D332" s="158" t="s">
        <v>806</v>
      </c>
      <c r="E332" s="171"/>
      <c r="F332" s="158">
        <v>2021</v>
      </c>
      <c r="G332" s="158">
        <v>2021</v>
      </c>
      <c r="H332" s="176">
        <v>3350000</v>
      </c>
      <c r="I332" s="176"/>
      <c r="J332" s="176">
        <f>H332*0.4</f>
        <v>1340000</v>
      </c>
      <c r="K332" s="176"/>
      <c r="L332" s="176">
        <f t="shared" ref="L332:L334" si="49">J332/4</f>
        <v>335000</v>
      </c>
      <c r="M332" s="176">
        <v>335000</v>
      </c>
      <c r="N332" s="176">
        <v>335000</v>
      </c>
      <c r="O332" s="176">
        <v>335000</v>
      </c>
      <c r="P332" s="25"/>
    </row>
    <row r="333" spans="1:16" ht="39" customHeight="1">
      <c r="A333" s="24">
        <v>3</v>
      </c>
      <c r="B333" s="171" t="s">
        <v>36</v>
      </c>
      <c r="C333" s="140" t="s">
        <v>1824</v>
      </c>
      <c r="D333" s="158" t="s">
        <v>806</v>
      </c>
      <c r="E333" s="171"/>
      <c r="F333" s="158">
        <v>2021</v>
      </c>
      <c r="G333" s="158">
        <v>2021</v>
      </c>
      <c r="H333" s="176">
        <v>5000000</v>
      </c>
      <c r="I333" s="176"/>
      <c r="J333" s="176">
        <f>H333*0.55</f>
        <v>2750000</v>
      </c>
      <c r="K333" s="176"/>
      <c r="L333" s="176">
        <f t="shared" si="49"/>
        <v>687500</v>
      </c>
      <c r="M333" s="176">
        <v>687500</v>
      </c>
      <c r="N333" s="176">
        <v>687500</v>
      </c>
      <c r="O333" s="176">
        <v>687500</v>
      </c>
      <c r="P333" s="25"/>
    </row>
    <row r="334" spans="1:16" ht="39" customHeight="1">
      <c r="A334" s="24">
        <v>4</v>
      </c>
      <c r="B334" s="171" t="s">
        <v>25</v>
      </c>
      <c r="C334" s="140" t="s">
        <v>1825</v>
      </c>
      <c r="D334" s="158" t="s">
        <v>806</v>
      </c>
      <c r="E334" s="171"/>
      <c r="F334" s="158">
        <v>2021</v>
      </c>
      <c r="G334" s="158">
        <v>2021</v>
      </c>
      <c r="H334" s="176">
        <v>8000000</v>
      </c>
      <c r="I334" s="176"/>
      <c r="J334" s="176">
        <f>H334*0.8</f>
        <v>6400000</v>
      </c>
      <c r="K334" s="176"/>
      <c r="L334" s="176">
        <f t="shared" si="49"/>
        <v>1600000</v>
      </c>
      <c r="M334" s="176">
        <v>1600000</v>
      </c>
      <c r="N334" s="176">
        <v>1600000</v>
      </c>
      <c r="O334" s="176">
        <v>1600000</v>
      </c>
      <c r="P334" s="25"/>
    </row>
    <row r="335" spans="1:16" ht="33">
      <c r="A335" s="742" t="s">
        <v>20</v>
      </c>
      <c r="B335" s="742"/>
      <c r="C335" s="742"/>
      <c r="D335" s="742"/>
      <c r="E335" s="742"/>
      <c r="F335" s="742"/>
      <c r="G335" s="742"/>
      <c r="H335" s="460">
        <f>SUM(H331:H334)</f>
        <v>33660000</v>
      </c>
      <c r="I335" s="460">
        <f t="shared" ref="I335:O335" si="50">SUM(I331:I334)</f>
        <v>0</v>
      </c>
      <c r="J335" s="460">
        <f t="shared" si="50"/>
        <v>20876000</v>
      </c>
      <c r="K335" s="460">
        <f t="shared" si="50"/>
        <v>0</v>
      </c>
      <c r="L335" s="460">
        <f t="shared" si="50"/>
        <v>5219000</v>
      </c>
      <c r="M335" s="460">
        <f t="shared" si="50"/>
        <v>5219000</v>
      </c>
      <c r="N335" s="460">
        <f t="shared" si="50"/>
        <v>5219000</v>
      </c>
      <c r="O335" s="460">
        <f t="shared" si="50"/>
        <v>5219000</v>
      </c>
      <c r="P335" s="138"/>
    </row>
    <row r="336" spans="1:16">
      <c r="A336" s="743"/>
      <c r="B336" s="743"/>
      <c r="C336" s="743"/>
      <c r="D336" s="743"/>
      <c r="E336" s="743"/>
      <c r="F336" s="743"/>
      <c r="G336" s="743"/>
      <c r="H336" s="743"/>
      <c r="I336" s="743"/>
      <c r="J336" s="743"/>
      <c r="K336" s="743"/>
      <c r="L336" s="743"/>
      <c r="M336" s="743"/>
      <c r="N336" s="743"/>
      <c r="O336" s="743"/>
      <c r="P336" s="743"/>
    </row>
    <row r="337" spans="1:16" ht="15.75">
      <c r="A337" s="680" t="s">
        <v>1826</v>
      </c>
      <c r="B337" s="680"/>
      <c r="C337" s="680"/>
      <c r="D337" s="680"/>
      <c r="E337" s="680"/>
      <c r="F337" s="750"/>
      <c r="G337" s="751"/>
      <c r="H337" s="751"/>
      <c r="I337" s="751"/>
      <c r="J337" s="751"/>
      <c r="K337" s="751"/>
      <c r="L337" s="751"/>
      <c r="M337" s="751"/>
      <c r="N337" s="751"/>
      <c r="O337" s="751"/>
      <c r="P337" s="752"/>
    </row>
    <row r="338" spans="1:16" ht="42" customHeight="1">
      <c r="A338" s="24">
        <v>1</v>
      </c>
      <c r="B338" s="171" t="s">
        <v>1848</v>
      </c>
      <c r="C338" s="140" t="s">
        <v>1827</v>
      </c>
      <c r="D338" s="158" t="s">
        <v>821</v>
      </c>
      <c r="E338" s="171"/>
      <c r="F338" s="158">
        <v>2021</v>
      </c>
      <c r="G338" s="158">
        <v>2021</v>
      </c>
      <c r="H338" s="176">
        <v>591834</v>
      </c>
      <c r="I338" s="176"/>
      <c r="J338" s="176">
        <v>591834</v>
      </c>
      <c r="K338" s="176"/>
      <c r="L338" s="176">
        <f>J338/4</f>
        <v>147958.5</v>
      </c>
      <c r="M338" s="176">
        <v>147958.5</v>
      </c>
      <c r="N338" s="176">
        <v>147958.5</v>
      </c>
      <c r="O338" s="176">
        <v>147958.5</v>
      </c>
      <c r="P338" s="25"/>
    </row>
    <row r="339" spans="1:16" ht="31.5">
      <c r="A339" s="24">
        <v>2</v>
      </c>
      <c r="B339" s="171" t="s">
        <v>1848</v>
      </c>
      <c r="C339" s="140" t="s">
        <v>1828</v>
      </c>
      <c r="D339" s="158" t="s">
        <v>821</v>
      </c>
      <c r="E339" s="171"/>
      <c r="F339" s="158">
        <v>2021</v>
      </c>
      <c r="G339" s="158">
        <v>2021</v>
      </c>
      <c r="H339" s="176">
        <v>1059375</v>
      </c>
      <c r="I339" s="176"/>
      <c r="J339" s="176">
        <v>1059375</v>
      </c>
      <c r="K339" s="176"/>
      <c r="L339" s="176">
        <f t="shared" ref="L339:L341" si="51">J339/4</f>
        <v>264843.75</v>
      </c>
      <c r="M339" s="176">
        <v>264843.75</v>
      </c>
      <c r="N339" s="176">
        <v>264843.75</v>
      </c>
      <c r="O339" s="176">
        <v>264843.75</v>
      </c>
      <c r="P339" s="25"/>
    </row>
    <row r="340" spans="1:16" ht="31.5">
      <c r="A340" s="24">
        <v>3</v>
      </c>
      <c r="B340" s="171" t="s">
        <v>1848</v>
      </c>
      <c r="C340" s="140" t="s">
        <v>1829</v>
      </c>
      <c r="D340" s="158" t="s">
        <v>821</v>
      </c>
      <c r="E340" s="171"/>
      <c r="F340" s="158">
        <v>2021</v>
      </c>
      <c r="G340" s="158">
        <v>2021</v>
      </c>
      <c r="H340" s="176">
        <v>231791</v>
      </c>
      <c r="I340" s="176"/>
      <c r="J340" s="176">
        <v>231791</v>
      </c>
      <c r="K340" s="176"/>
      <c r="L340" s="176">
        <f t="shared" si="51"/>
        <v>57947.75</v>
      </c>
      <c r="M340" s="176">
        <v>57947.75</v>
      </c>
      <c r="N340" s="176">
        <v>57947.75</v>
      </c>
      <c r="O340" s="176">
        <v>57947.75</v>
      </c>
      <c r="P340" s="25"/>
    </row>
    <row r="341" spans="1:16" ht="31.5">
      <c r="A341" s="24">
        <v>4</v>
      </c>
      <c r="B341" s="171" t="s">
        <v>1848</v>
      </c>
      <c r="C341" s="140" t="s">
        <v>1830</v>
      </c>
      <c r="D341" s="158" t="s">
        <v>821</v>
      </c>
      <c r="E341" s="171"/>
      <c r="F341" s="158">
        <v>2021</v>
      </c>
      <c r="G341" s="158">
        <v>2021</v>
      </c>
      <c r="H341" s="176">
        <v>17283</v>
      </c>
      <c r="I341" s="176"/>
      <c r="J341" s="176">
        <v>17283</v>
      </c>
      <c r="K341" s="176"/>
      <c r="L341" s="176">
        <f t="shared" si="51"/>
        <v>4320.75</v>
      </c>
      <c r="M341" s="176">
        <v>4320.75</v>
      </c>
      <c r="N341" s="176">
        <v>4320.75</v>
      </c>
      <c r="O341" s="176">
        <v>4320.75</v>
      </c>
      <c r="P341" s="25"/>
    </row>
    <row r="342" spans="1:16" ht="33">
      <c r="A342" s="742" t="s">
        <v>20</v>
      </c>
      <c r="B342" s="742"/>
      <c r="C342" s="742"/>
      <c r="D342" s="742"/>
      <c r="E342" s="742"/>
      <c r="F342" s="742"/>
      <c r="G342" s="742"/>
      <c r="H342" s="433">
        <f>SUM(H338:H341)</f>
        <v>1900283</v>
      </c>
      <c r="I342" s="433">
        <f t="shared" ref="I342:O342" si="52">SUM(I338:I341)</f>
        <v>0</v>
      </c>
      <c r="J342" s="433">
        <f t="shared" si="52"/>
        <v>1900283</v>
      </c>
      <c r="K342" s="433">
        <f t="shared" si="52"/>
        <v>0</v>
      </c>
      <c r="L342" s="433">
        <f t="shared" si="52"/>
        <v>475070.75</v>
      </c>
      <c r="M342" s="433">
        <f t="shared" si="52"/>
        <v>475070.75</v>
      </c>
      <c r="N342" s="433">
        <f t="shared" si="52"/>
        <v>475070.75</v>
      </c>
      <c r="O342" s="433">
        <f t="shared" si="52"/>
        <v>475070.75</v>
      </c>
      <c r="P342" s="138"/>
    </row>
    <row r="343" spans="1:16">
      <c r="A343" s="768"/>
      <c r="B343" s="769"/>
      <c r="C343" s="769"/>
      <c r="D343" s="769"/>
      <c r="E343" s="769"/>
      <c r="F343" s="769"/>
      <c r="G343" s="769"/>
      <c r="H343" s="769"/>
      <c r="I343" s="769"/>
      <c r="J343" s="769"/>
      <c r="K343" s="769"/>
      <c r="L343" s="769"/>
      <c r="M343" s="769"/>
      <c r="N343" s="769"/>
      <c r="O343" s="769"/>
      <c r="P343" s="770"/>
    </row>
    <row r="344" spans="1:16" ht="16.5" thickBot="1">
      <c r="A344" s="680" t="s">
        <v>1851</v>
      </c>
      <c r="B344" s="680"/>
      <c r="C344" s="680"/>
      <c r="D344" s="680"/>
      <c r="E344" s="680"/>
      <c r="F344" s="750"/>
      <c r="G344" s="751"/>
      <c r="H344" s="751"/>
      <c r="I344" s="751"/>
      <c r="J344" s="751"/>
      <c r="K344" s="751"/>
      <c r="L344" s="751"/>
      <c r="M344" s="751"/>
      <c r="N344" s="751"/>
      <c r="O344" s="751"/>
      <c r="P344" s="752"/>
    </row>
    <row r="345" spans="1:16" ht="28.5" customHeight="1">
      <c r="A345" s="597">
        <v>1</v>
      </c>
      <c r="B345" s="597" t="s">
        <v>25</v>
      </c>
      <c r="C345" s="27" t="s">
        <v>1914</v>
      </c>
      <c r="D345" s="597" t="s">
        <v>38</v>
      </c>
      <c r="E345" s="597"/>
      <c r="F345" s="533">
        <v>2021</v>
      </c>
      <c r="G345" s="532">
        <v>2022</v>
      </c>
      <c r="H345" s="523">
        <v>22822852</v>
      </c>
      <c r="I345" s="535"/>
      <c r="J345" s="523">
        <v>22822852</v>
      </c>
      <c r="K345" s="535"/>
      <c r="L345" s="535">
        <f>J345/4</f>
        <v>5705713</v>
      </c>
      <c r="M345" s="535">
        <v>5705713</v>
      </c>
      <c r="N345" s="535">
        <v>5705713</v>
      </c>
      <c r="O345" s="535">
        <v>5705713</v>
      </c>
      <c r="P345" s="597"/>
    </row>
    <row r="346" spans="1:16" ht="28.5" customHeight="1">
      <c r="A346" s="597">
        <v>2</v>
      </c>
      <c r="B346" s="597" t="s">
        <v>25</v>
      </c>
      <c r="C346" s="522" t="s">
        <v>1915</v>
      </c>
      <c r="D346" s="597" t="s">
        <v>38</v>
      </c>
      <c r="E346" s="597"/>
      <c r="F346" s="534">
        <v>2021</v>
      </c>
      <c r="G346" s="532">
        <v>2021</v>
      </c>
      <c r="H346" s="523">
        <v>11251220</v>
      </c>
      <c r="I346" s="535"/>
      <c r="J346" s="523">
        <v>11251220</v>
      </c>
      <c r="K346" s="535"/>
      <c r="L346" s="535">
        <f>J346/4</f>
        <v>2812805</v>
      </c>
      <c r="M346" s="535">
        <v>2812805</v>
      </c>
      <c r="N346" s="535">
        <v>2812805</v>
      </c>
      <c r="O346" s="535">
        <v>2812805</v>
      </c>
      <c r="P346" s="597"/>
    </row>
    <row r="347" spans="1:16" ht="28.5" customHeight="1">
      <c r="A347" s="742" t="s">
        <v>20</v>
      </c>
      <c r="B347" s="742"/>
      <c r="C347" s="742"/>
      <c r="D347" s="742"/>
      <c r="E347" s="742"/>
      <c r="F347" s="742"/>
      <c r="G347" s="742"/>
      <c r="H347" s="433">
        <f>SUM(H345:H346)</f>
        <v>34074072</v>
      </c>
      <c r="I347" s="433">
        <f t="shared" ref="I347:O347" si="53">SUM(I345:I346)</f>
        <v>0</v>
      </c>
      <c r="J347" s="433">
        <f t="shared" si="53"/>
        <v>34074072</v>
      </c>
      <c r="K347" s="433">
        <f t="shared" si="53"/>
        <v>0</v>
      </c>
      <c r="L347" s="433">
        <f t="shared" si="53"/>
        <v>8518518</v>
      </c>
      <c r="M347" s="433">
        <f t="shared" si="53"/>
        <v>8518518</v>
      </c>
      <c r="N347" s="433">
        <f t="shared" si="53"/>
        <v>8518518</v>
      </c>
      <c r="O347" s="433">
        <f t="shared" si="53"/>
        <v>8518518</v>
      </c>
      <c r="P347" s="138"/>
    </row>
    <row r="348" spans="1:16">
      <c r="A348" s="749"/>
      <c r="B348" s="749"/>
      <c r="C348" s="749"/>
      <c r="D348" s="749"/>
      <c r="E348" s="749"/>
      <c r="F348" s="749"/>
      <c r="G348" s="749"/>
      <c r="H348" s="749"/>
      <c r="I348" s="749"/>
      <c r="J348" s="749"/>
      <c r="K348" s="749"/>
      <c r="L348" s="749"/>
      <c r="M348" s="749"/>
      <c r="N348" s="749"/>
      <c r="O348" s="749"/>
      <c r="P348" s="749"/>
    </row>
    <row r="349" spans="1:16" ht="15.75">
      <c r="A349" s="680" t="s">
        <v>1874</v>
      </c>
      <c r="B349" s="680"/>
      <c r="C349" s="680"/>
      <c r="D349" s="680"/>
      <c r="E349" s="680"/>
      <c r="F349" s="750"/>
      <c r="G349" s="751"/>
      <c r="H349" s="751"/>
      <c r="I349" s="751"/>
      <c r="J349" s="751"/>
      <c r="K349" s="751"/>
      <c r="L349" s="751"/>
      <c r="M349" s="751"/>
      <c r="N349" s="751"/>
      <c r="O349" s="751"/>
      <c r="P349" s="752"/>
    </row>
    <row r="350" spans="1:16" ht="63">
      <c r="A350" s="596">
        <v>1</v>
      </c>
      <c r="B350" s="171" t="s">
        <v>36</v>
      </c>
      <c r="C350" s="622" t="s">
        <v>1953</v>
      </c>
      <c r="D350" s="596" t="s">
        <v>809</v>
      </c>
      <c r="E350" s="626"/>
      <c r="F350" s="171">
        <v>2020</v>
      </c>
      <c r="G350" s="171">
        <v>2021</v>
      </c>
      <c r="H350" s="523">
        <v>1178292.52</v>
      </c>
      <c r="I350" s="523">
        <v>818970.08</v>
      </c>
      <c r="J350" s="523">
        <v>359322.44</v>
      </c>
      <c r="K350" s="523"/>
      <c r="L350" s="523">
        <f>J350/4</f>
        <v>89830.61</v>
      </c>
      <c r="M350" s="523">
        <v>89830.61</v>
      </c>
      <c r="N350" s="523">
        <v>89830.61</v>
      </c>
      <c r="O350" s="523">
        <v>89830.61</v>
      </c>
      <c r="P350" s="596"/>
    </row>
    <row r="351" spans="1:16" ht="47.25">
      <c r="A351" s="596">
        <v>2</v>
      </c>
      <c r="B351" s="172" t="s">
        <v>36</v>
      </c>
      <c r="C351" s="622" t="s">
        <v>1954</v>
      </c>
      <c r="D351" s="596" t="s">
        <v>809</v>
      </c>
      <c r="E351" s="626"/>
      <c r="F351" s="171">
        <v>2020</v>
      </c>
      <c r="G351" s="171">
        <v>2021</v>
      </c>
      <c r="H351" s="523">
        <v>6100600</v>
      </c>
      <c r="I351" s="523"/>
      <c r="J351" s="523">
        <v>6100600</v>
      </c>
      <c r="K351" s="523"/>
      <c r="L351" s="523">
        <f t="shared" ref="L351:L384" si="54">J351/4</f>
        <v>1525150</v>
      </c>
      <c r="M351" s="523">
        <v>1525150</v>
      </c>
      <c r="N351" s="523">
        <v>1525150</v>
      </c>
      <c r="O351" s="523">
        <v>1525150</v>
      </c>
      <c r="P351" s="596"/>
    </row>
    <row r="352" spans="1:16" ht="47.25">
      <c r="A352" s="596">
        <v>3</v>
      </c>
      <c r="B352" s="171" t="s">
        <v>25</v>
      </c>
      <c r="C352" s="622" t="s">
        <v>1955</v>
      </c>
      <c r="D352" s="596" t="s">
        <v>809</v>
      </c>
      <c r="E352" s="626"/>
      <c r="F352" s="171">
        <v>2020</v>
      </c>
      <c r="G352" s="171">
        <v>2021</v>
      </c>
      <c r="H352" s="523">
        <v>2651662.96</v>
      </c>
      <c r="I352" s="523">
        <v>1002251.73</v>
      </c>
      <c r="J352" s="523">
        <v>1649411.23</v>
      </c>
      <c r="K352" s="523"/>
      <c r="L352" s="523">
        <f t="shared" si="54"/>
        <v>412352.8075</v>
      </c>
      <c r="M352" s="523">
        <v>412352.8075</v>
      </c>
      <c r="N352" s="523">
        <v>412352.8075</v>
      </c>
      <c r="O352" s="523">
        <v>412352.8075</v>
      </c>
      <c r="P352" s="596"/>
    </row>
    <row r="353" spans="1:16" ht="15.75">
      <c r="A353" s="596">
        <v>4</v>
      </c>
      <c r="B353" s="171" t="s">
        <v>25</v>
      </c>
      <c r="C353" s="622" t="s">
        <v>1956</v>
      </c>
      <c r="D353" s="596" t="s">
        <v>809</v>
      </c>
      <c r="E353" s="626"/>
      <c r="F353" s="171">
        <v>2021</v>
      </c>
      <c r="G353" s="171">
        <v>2021</v>
      </c>
      <c r="H353" s="523">
        <v>351876</v>
      </c>
      <c r="I353" s="523"/>
      <c r="J353" s="523">
        <v>351876</v>
      </c>
      <c r="K353" s="523"/>
      <c r="L353" s="523">
        <f t="shared" si="54"/>
        <v>87969</v>
      </c>
      <c r="M353" s="523">
        <v>87969</v>
      </c>
      <c r="N353" s="523">
        <v>87969</v>
      </c>
      <c r="O353" s="523">
        <v>87969</v>
      </c>
      <c r="P353" s="596"/>
    </row>
    <row r="354" spans="1:16" ht="47.25">
      <c r="A354" s="596">
        <v>5</v>
      </c>
      <c r="B354" s="171" t="s">
        <v>25</v>
      </c>
      <c r="C354" s="623" t="s">
        <v>1957</v>
      </c>
      <c r="D354" s="596" t="s">
        <v>809</v>
      </c>
      <c r="E354" s="626"/>
      <c r="F354" s="171">
        <v>2021</v>
      </c>
      <c r="G354" s="171">
        <v>2021</v>
      </c>
      <c r="H354" s="523">
        <v>2618538</v>
      </c>
      <c r="I354" s="523"/>
      <c r="J354" s="523">
        <v>2618538</v>
      </c>
      <c r="K354" s="523"/>
      <c r="L354" s="523">
        <f t="shared" si="54"/>
        <v>654634.5</v>
      </c>
      <c r="M354" s="523">
        <v>654634.5</v>
      </c>
      <c r="N354" s="523">
        <v>654634.5</v>
      </c>
      <c r="O354" s="523">
        <v>654634.5</v>
      </c>
      <c r="P354" s="596"/>
    </row>
    <row r="355" spans="1:16" ht="63">
      <c r="A355" s="596">
        <v>6</v>
      </c>
      <c r="B355" s="171" t="s">
        <v>25</v>
      </c>
      <c r="C355" s="624" t="s">
        <v>1958</v>
      </c>
      <c r="D355" s="596" t="s">
        <v>809</v>
      </c>
      <c r="E355" s="626"/>
      <c r="F355" s="171">
        <v>2021</v>
      </c>
      <c r="G355" s="171">
        <v>2021</v>
      </c>
      <c r="H355" s="523">
        <v>4181814.98</v>
      </c>
      <c r="I355" s="523"/>
      <c r="J355" s="523">
        <v>4181814.98</v>
      </c>
      <c r="K355" s="523"/>
      <c r="L355" s="523">
        <f t="shared" si="54"/>
        <v>1045453.745</v>
      </c>
      <c r="M355" s="523">
        <v>1045453.745</v>
      </c>
      <c r="N355" s="523">
        <v>1045453.745</v>
      </c>
      <c r="O355" s="523">
        <v>1045453.745</v>
      </c>
      <c r="P355" s="596"/>
    </row>
    <row r="356" spans="1:16" ht="47.25">
      <c r="A356" s="596">
        <v>7</v>
      </c>
      <c r="B356" s="171" t="s">
        <v>25</v>
      </c>
      <c r="C356" s="622" t="s">
        <v>1959</v>
      </c>
      <c r="D356" s="596" t="s">
        <v>809</v>
      </c>
      <c r="E356" s="626"/>
      <c r="F356" s="171">
        <v>2021</v>
      </c>
      <c r="G356" s="171">
        <v>2021</v>
      </c>
      <c r="H356" s="523">
        <v>3866441.1</v>
      </c>
      <c r="I356" s="523"/>
      <c r="J356" s="523">
        <v>3866441.1</v>
      </c>
      <c r="K356" s="523"/>
      <c r="L356" s="523">
        <f t="shared" si="54"/>
        <v>966610.27500000002</v>
      </c>
      <c r="M356" s="523">
        <v>966610.27500000002</v>
      </c>
      <c r="N356" s="523">
        <v>966610.27500000002</v>
      </c>
      <c r="O356" s="523">
        <v>966610.27500000002</v>
      </c>
      <c r="P356" s="596"/>
    </row>
    <row r="357" spans="1:16" ht="47.25">
      <c r="A357" s="596">
        <v>8</v>
      </c>
      <c r="B357" s="171" t="s">
        <v>25</v>
      </c>
      <c r="C357" s="624" t="s">
        <v>1960</v>
      </c>
      <c r="D357" s="596" t="s">
        <v>809</v>
      </c>
      <c r="E357" s="626"/>
      <c r="F357" s="171">
        <v>2021</v>
      </c>
      <c r="G357" s="171">
        <v>2021</v>
      </c>
      <c r="H357" s="523">
        <v>372290</v>
      </c>
      <c r="I357" s="523"/>
      <c r="J357" s="523">
        <v>372290</v>
      </c>
      <c r="K357" s="523"/>
      <c r="L357" s="523">
        <f t="shared" si="54"/>
        <v>93072.5</v>
      </c>
      <c r="M357" s="523">
        <v>93072.5</v>
      </c>
      <c r="N357" s="523">
        <v>93072.5</v>
      </c>
      <c r="O357" s="523">
        <v>93072.5</v>
      </c>
      <c r="P357" s="596"/>
    </row>
    <row r="358" spans="1:16" ht="47.25">
      <c r="A358" s="596">
        <v>9</v>
      </c>
      <c r="B358" s="171" t="s">
        <v>25</v>
      </c>
      <c r="C358" s="622" t="s">
        <v>1961</v>
      </c>
      <c r="D358" s="596" t="s">
        <v>809</v>
      </c>
      <c r="E358" s="626"/>
      <c r="F358" s="171">
        <v>2021</v>
      </c>
      <c r="G358" s="171">
        <v>2021</v>
      </c>
      <c r="H358" s="523">
        <v>470820</v>
      </c>
      <c r="I358" s="523"/>
      <c r="J358" s="523">
        <v>470820</v>
      </c>
      <c r="K358" s="523"/>
      <c r="L358" s="523">
        <f t="shared" si="54"/>
        <v>117705</v>
      </c>
      <c r="M358" s="523">
        <v>117705</v>
      </c>
      <c r="N358" s="523">
        <v>117705</v>
      </c>
      <c r="O358" s="523">
        <v>117705</v>
      </c>
      <c r="P358" s="596"/>
    </row>
    <row r="359" spans="1:16" ht="47.25">
      <c r="A359" s="596">
        <v>10</v>
      </c>
      <c r="B359" s="171" t="s">
        <v>25</v>
      </c>
      <c r="C359" s="622" t="s">
        <v>1962</v>
      </c>
      <c r="D359" s="596" t="s">
        <v>809</v>
      </c>
      <c r="E359" s="626"/>
      <c r="F359" s="171">
        <v>2021</v>
      </c>
      <c r="G359" s="171">
        <v>2021</v>
      </c>
      <c r="H359" s="523">
        <v>1135219</v>
      </c>
      <c r="I359" s="523"/>
      <c r="J359" s="523">
        <v>1135219</v>
      </c>
      <c r="K359" s="523"/>
      <c r="L359" s="523">
        <f t="shared" si="54"/>
        <v>283804.75</v>
      </c>
      <c r="M359" s="523">
        <v>283804.75</v>
      </c>
      <c r="N359" s="523">
        <v>283804.75</v>
      </c>
      <c r="O359" s="523">
        <v>283804.75</v>
      </c>
      <c r="P359" s="596"/>
    </row>
    <row r="360" spans="1:16" ht="47.25">
      <c r="A360" s="596">
        <v>11</v>
      </c>
      <c r="B360" s="171" t="s">
        <v>25</v>
      </c>
      <c r="C360" s="624" t="s">
        <v>1963</v>
      </c>
      <c r="D360" s="596" t="s">
        <v>809</v>
      </c>
      <c r="E360" s="626"/>
      <c r="F360" s="171">
        <v>2021</v>
      </c>
      <c r="G360" s="171">
        <v>2021</v>
      </c>
      <c r="H360" s="523">
        <v>2800000</v>
      </c>
      <c r="I360" s="523"/>
      <c r="J360" s="523">
        <v>2800000</v>
      </c>
      <c r="K360" s="523"/>
      <c r="L360" s="523">
        <f t="shared" si="54"/>
        <v>700000</v>
      </c>
      <c r="M360" s="523">
        <v>700000</v>
      </c>
      <c r="N360" s="523">
        <v>700000</v>
      </c>
      <c r="O360" s="523">
        <v>700000</v>
      </c>
      <c r="P360" s="596"/>
    </row>
    <row r="361" spans="1:16" ht="47.25">
      <c r="A361" s="596">
        <v>12</v>
      </c>
      <c r="B361" s="171" t="s">
        <v>25</v>
      </c>
      <c r="C361" s="624" t="s">
        <v>1964</v>
      </c>
      <c r="D361" s="596" t="s">
        <v>809</v>
      </c>
      <c r="E361" s="626"/>
      <c r="F361" s="171">
        <v>2021</v>
      </c>
      <c r="G361" s="171">
        <v>2021</v>
      </c>
      <c r="H361" s="523">
        <v>69596.399999999994</v>
      </c>
      <c r="I361" s="523"/>
      <c r="J361" s="523">
        <v>69596.399999999994</v>
      </c>
      <c r="K361" s="523"/>
      <c r="L361" s="523">
        <f t="shared" si="54"/>
        <v>17399.099999999999</v>
      </c>
      <c r="M361" s="523">
        <v>17399.099999999999</v>
      </c>
      <c r="N361" s="523">
        <v>17399.099999999999</v>
      </c>
      <c r="O361" s="523">
        <v>17399.099999999999</v>
      </c>
      <c r="P361" s="596"/>
    </row>
    <row r="362" spans="1:16" ht="47.25">
      <c r="A362" s="596">
        <v>13</v>
      </c>
      <c r="B362" s="172" t="s">
        <v>36</v>
      </c>
      <c r="C362" s="622" t="s">
        <v>1965</v>
      </c>
      <c r="D362" s="596" t="s">
        <v>809</v>
      </c>
      <c r="E362" s="626"/>
      <c r="F362" s="171">
        <v>2021</v>
      </c>
      <c r="G362" s="171">
        <v>2021</v>
      </c>
      <c r="H362" s="523">
        <v>1062000</v>
      </c>
      <c r="I362" s="523"/>
      <c r="J362" s="523">
        <v>1062000</v>
      </c>
      <c r="K362" s="523"/>
      <c r="L362" s="523">
        <f t="shared" si="54"/>
        <v>265500</v>
      </c>
      <c r="M362" s="523">
        <v>265500</v>
      </c>
      <c r="N362" s="523">
        <v>265500</v>
      </c>
      <c r="O362" s="523">
        <v>265500</v>
      </c>
      <c r="P362" s="596"/>
    </row>
    <row r="363" spans="1:16" ht="15.75">
      <c r="A363" s="596">
        <v>14</v>
      </c>
      <c r="B363" s="171" t="s">
        <v>25</v>
      </c>
      <c r="C363" s="622" t="s">
        <v>1966</v>
      </c>
      <c r="D363" s="596" t="s">
        <v>809</v>
      </c>
      <c r="E363" s="626"/>
      <c r="F363" s="171">
        <v>2021</v>
      </c>
      <c r="G363" s="171">
        <v>2021</v>
      </c>
      <c r="H363" s="523">
        <v>2251710.7400000002</v>
      </c>
      <c r="I363" s="523"/>
      <c r="J363" s="523">
        <v>2251710.7400000002</v>
      </c>
      <c r="K363" s="523"/>
      <c r="L363" s="523">
        <f t="shared" si="54"/>
        <v>562927.68500000006</v>
      </c>
      <c r="M363" s="523">
        <v>562927.68500000006</v>
      </c>
      <c r="N363" s="523">
        <v>562927.68500000006</v>
      </c>
      <c r="O363" s="523">
        <v>562927.68500000006</v>
      </c>
      <c r="P363" s="596"/>
    </row>
    <row r="364" spans="1:16" ht="15.75">
      <c r="A364" s="596">
        <v>15</v>
      </c>
      <c r="B364" s="171" t="s">
        <v>25</v>
      </c>
      <c r="C364" s="622" t="s">
        <v>1967</v>
      </c>
      <c r="D364" s="596" t="s">
        <v>809</v>
      </c>
      <c r="E364" s="626"/>
      <c r="F364" s="171">
        <v>2021</v>
      </c>
      <c r="G364" s="171">
        <v>2021</v>
      </c>
      <c r="H364" s="523">
        <v>275000</v>
      </c>
      <c r="I364" s="523"/>
      <c r="J364" s="523">
        <v>275000</v>
      </c>
      <c r="K364" s="523"/>
      <c r="L364" s="523">
        <f t="shared" si="54"/>
        <v>68750</v>
      </c>
      <c r="M364" s="523">
        <v>68750</v>
      </c>
      <c r="N364" s="523">
        <v>68750</v>
      </c>
      <c r="O364" s="523">
        <v>68750</v>
      </c>
      <c r="P364" s="596"/>
    </row>
    <row r="365" spans="1:16" ht="31.5">
      <c r="A365" s="596">
        <v>16</v>
      </c>
      <c r="B365" s="172" t="s">
        <v>1988</v>
      </c>
      <c r="C365" s="622" t="s">
        <v>1968</v>
      </c>
      <c r="D365" s="596" t="s">
        <v>809</v>
      </c>
      <c r="E365" s="626"/>
      <c r="F365" s="171">
        <v>2021</v>
      </c>
      <c r="G365" s="171">
        <v>2021</v>
      </c>
      <c r="H365" s="523">
        <v>1957148</v>
      </c>
      <c r="I365" s="523"/>
      <c r="J365" s="523">
        <v>1957148</v>
      </c>
      <c r="K365" s="523"/>
      <c r="L365" s="523">
        <f t="shared" si="54"/>
        <v>489287</v>
      </c>
      <c r="M365" s="523">
        <v>489287</v>
      </c>
      <c r="N365" s="523">
        <v>489287</v>
      </c>
      <c r="O365" s="523">
        <v>489287</v>
      </c>
      <c r="P365" s="596"/>
    </row>
    <row r="366" spans="1:16" ht="47.25">
      <c r="A366" s="596">
        <v>17</v>
      </c>
      <c r="B366" s="172" t="s">
        <v>1988</v>
      </c>
      <c r="C366" s="622" t="s">
        <v>1969</v>
      </c>
      <c r="D366" s="596" t="s">
        <v>809</v>
      </c>
      <c r="E366" s="626"/>
      <c r="F366" s="171">
        <v>2021</v>
      </c>
      <c r="G366" s="171">
        <v>2021</v>
      </c>
      <c r="H366" s="523">
        <v>1821094</v>
      </c>
      <c r="I366" s="523"/>
      <c r="J366" s="523">
        <v>1821094</v>
      </c>
      <c r="K366" s="523"/>
      <c r="L366" s="523">
        <f t="shared" si="54"/>
        <v>455273.5</v>
      </c>
      <c r="M366" s="523">
        <v>455273.5</v>
      </c>
      <c r="N366" s="523">
        <v>455273.5</v>
      </c>
      <c r="O366" s="523">
        <v>455273.5</v>
      </c>
      <c r="P366" s="596"/>
    </row>
    <row r="367" spans="1:16" ht="31.5">
      <c r="A367" s="596">
        <v>18</v>
      </c>
      <c r="B367" s="171" t="s">
        <v>25</v>
      </c>
      <c r="C367" s="622" t="s">
        <v>1970</v>
      </c>
      <c r="D367" s="596" t="s">
        <v>809</v>
      </c>
      <c r="E367" s="626"/>
      <c r="F367" s="171">
        <v>2021</v>
      </c>
      <c r="G367" s="171">
        <v>2021</v>
      </c>
      <c r="H367" s="523">
        <v>1416005.9</v>
      </c>
      <c r="I367" s="523"/>
      <c r="J367" s="523">
        <v>1416005.9</v>
      </c>
      <c r="K367" s="523"/>
      <c r="L367" s="523">
        <f t="shared" si="54"/>
        <v>354001.47499999998</v>
      </c>
      <c r="M367" s="523">
        <v>354001.47499999998</v>
      </c>
      <c r="N367" s="523">
        <v>354001.47499999998</v>
      </c>
      <c r="O367" s="523">
        <v>354001.47499999998</v>
      </c>
      <c r="P367" s="596"/>
    </row>
    <row r="368" spans="1:16" ht="47.25">
      <c r="A368" s="596">
        <v>19</v>
      </c>
      <c r="B368" s="172" t="s">
        <v>1988</v>
      </c>
      <c r="C368" s="622" t="s">
        <v>1971</v>
      </c>
      <c r="D368" s="596" t="s">
        <v>809</v>
      </c>
      <c r="E368" s="626"/>
      <c r="F368" s="171">
        <v>2021</v>
      </c>
      <c r="G368" s="171">
        <v>2021</v>
      </c>
      <c r="H368" s="523">
        <v>1705937.8</v>
      </c>
      <c r="I368" s="523"/>
      <c r="J368" s="523">
        <v>1705937.8</v>
      </c>
      <c r="K368" s="523"/>
      <c r="L368" s="523">
        <f t="shared" si="54"/>
        <v>426484.45</v>
      </c>
      <c r="M368" s="523">
        <v>426484.45</v>
      </c>
      <c r="N368" s="523">
        <v>426484.45</v>
      </c>
      <c r="O368" s="523">
        <v>426484.45</v>
      </c>
      <c r="P368" s="596"/>
    </row>
    <row r="369" spans="1:16" ht="47.25">
      <c r="A369" s="596">
        <v>20</v>
      </c>
      <c r="B369" s="172" t="s">
        <v>1988</v>
      </c>
      <c r="C369" s="622" t="s">
        <v>1972</v>
      </c>
      <c r="D369" s="596" t="s">
        <v>809</v>
      </c>
      <c r="E369" s="626"/>
      <c r="F369" s="171">
        <v>2021</v>
      </c>
      <c r="G369" s="171">
        <v>2021</v>
      </c>
      <c r="H369" s="523">
        <v>1947472</v>
      </c>
      <c r="I369" s="523"/>
      <c r="J369" s="523">
        <v>1947472</v>
      </c>
      <c r="K369" s="523"/>
      <c r="L369" s="523">
        <f t="shared" si="54"/>
        <v>486868</v>
      </c>
      <c r="M369" s="523">
        <v>486868</v>
      </c>
      <c r="N369" s="523">
        <v>486868</v>
      </c>
      <c r="O369" s="523">
        <v>486868</v>
      </c>
      <c r="P369" s="596"/>
    </row>
    <row r="370" spans="1:16" ht="47.25">
      <c r="A370" s="596">
        <v>21</v>
      </c>
      <c r="B370" s="172" t="s">
        <v>1988</v>
      </c>
      <c r="C370" s="622" t="s">
        <v>1973</v>
      </c>
      <c r="D370" s="596" t="s">
        <v>809</v>
      </c>
      <c r="E370" s="626"/>
      <c r="F370" s="171">
        <v>2021</v>
      </c>
      <c r="G370" s="171">
        <v>2021</v>
      </c>
      <c r="H370" s="523">
        <v>2667272</v>
      </c>
      <c r="I370" s="523"/>
      <c r="J370" s="523">
        <v>2667272</v>
      </c>
      <c r="K370" s="523"/>
      <c r="L370" s="523">
        <f t="shared" si="54"/>
        <v>666818</v>
      </c>
      <c r="M370" s="523">
        <v>666818</v>
      </c>
      <c r="N370" s="523">
        <v>666818</v>
      </c>
      <c r="O370" s="523">
        <v>666818</v>
      </c>
      <c r="P370" s="596"/>
    </row>
    <row r="371" spans="1:16" ht="31.5">
      <c r="A371" s="596">
        <v>22</v>
      </c>
      <c r="B371" s="171" t="s">
        <v>25</v>
      </c>
      <c r="C371" s="622" t="s">
        <v>1974</v>
      </c>
      <c r="D371" s="596" t="s">
        <v>809</v>
      </c>
      <c r="E371" s="626"/>
      <c r="F371" s="171">
        <v>2021</v>
      </c>
      <c r="G371" s="171">
        <v>2021</v>
      </c>
      <c r="H371" s="523">
        <v>1015567</v>
      </c>
      <c r="I371" s="523"/>
      <c r="J371" s="523">
        <v>1015567</v>
      </c>
      <c r="K371" s="523"/>
      <c r="L371" s="523">
        <f t="shared" si="54"/>
        <v>253891.75</v>
      </c>
      <c r="M371" s="523">
        <v>253891.75</v>
      </c>
      <c r="N371" s="523">
        <v>253891.75</v>
      </c>
      <c r="O371" s="523">
        <v>253891.75</v>
      </c>
      <c r="P371" s="596"/>
    </row>
    <row r="372" spans="1:16" ht="47.25">
      <c r="A372" s="596">
        <v>23</v>
      </c>
      <c r="B372" s="172" t="s">
        <v>1988</v>
      </c>
      <c r="C372" s="622" t="s">
        <v>1975</v>
      </c>
      <c r="D372" s="596" t="s">
        <v>809</v>
      </c>
      <c r="E372" s="626"/>
      <c r="F372" s="171">
        <v>2021</v>
      </c>
      <c r="G372" s="171">
        <v>2021</v>
      </c>
      <c r="H372" s="523">
        <v>1428791.2</v>
      </c>
      <c r="I372" s="523"/>
      <c r="J372" s="523">
        <v>1428791.2</v>
      </c>
      <c r="K372" s="523"/>
      <c r="L372" s="523">
        <f t="shared" si="54"/>
        <v>357197.8</v>
      </c>
      <c r="M372" s="523">
        <v>357197.8</v>
      </c>
      <c r="N372" s="523">
        <v>357197.8</v>
      </c>
      <c r="O372" s="523">
        <v>357197.8</v>
      </c>
      <c r="P372" s="596"/>
    </row>
    <row r="373" spans="1:16" ht="47.25">
      <c r="A373" s="596">
        <v>24</v>
      </c>
      <c r="B373" s="172" t="s">
        <v>1988</v>
      </c>
      <c r="C373" s="622" t="s">
        <v>1976</v>
      </c>
      <c r="D373" s="596" t="s">
        <v>809</v>
      </c>
      <c r="E373" s="626"/>
      <c r="F373" s="171">
        <v>2021</v>
      </c>
      <c r="G373" s="171">
        <v>2021</v>
      </c>
      <c r="H373" s="523">
        <v>1646100</v>
      </c>
      <c r="I373" s="523"/>
      <c r="J373" s="523">
        <v>1646100</v>
      </c>
      <c r="K373" s="523"/>
      <c r="L373" s="523">
        <f t="shared" si="54"/>
        <v>411525</v>
      </c>
      <c r="M373" s="523">
        <v>411525</v>
      </c>
      <c r="N373" s="523">
        <v>411525</v>
      </c>
      <c r="O373" s="523">
        <v>411525</v>
      </c>
      <c r="P373" s="596"/>
    </row>
    <row r="374" spans="1:16" ht="47.25">
      <c r="A374" s="596">
        <v>25</v>
      </c>
      <c r="B374" s="172" t="s">
        <v>1988</v>
      </c>
      <c r="C374" s="622" t="s">
        <v>1977</v>
      </c>
      <c r="D374" s="596" t="s">
        <v>809</v>
      </c>
      <c r="E374" s="626"/>
      <c r="F374" s="171">
        <v>2021</v>
      </c>
      <c r="G374" s="171">
        <v>2021</v>
      </c>
      <c r="H374" s="523">
        <v>1477832</v>
      </c>
      <c r="I374" s="523"/>
      <c r="J374" s="523">
        <v>1477832</v>
      </c>
      <c r="K374" s="523"/>
      <c r="L374" s="523">
        <f t="shared" si="54"/>
        <v>369458</v>
      </c>
      <c r="M374" s="523">
        <v>369458</v>
      </c>
      <c r="N374" s="523">
        <v>369458</v>
      </c>
      <c r="O374" s="523">
        <v>369458</v>
      </c>
      <c r="P374" s="596"/>
    </row>
    <row r="375" spans="1:16" ht="47.25">
      <c r="A375" s="596">
        <v>26</v>
      </c>
      <c r="B375" s="171" t="s">
        <v>25</v>
      </c>
      <c r="C375" s="622" t="s">
        <v>1978</v>
      </c>
      <c r="D375" s="596" t="s">
        <v>809</v>
      </c>
      <c r="E375" s="626"/>
      <c r="F375" s="171">
        <v>2021</v>
      </c>
      <c r="G375" s="171">
        <v>2021</v>
      </c>
      <c r="H375" s="523">
        <v>10492560</v>
      </c>
      <c r="I375" s="523"/>
      <c r="J375" s="523">
        <v>10492560</v>
      </c>
      <c r="K375" s="523"/>
      <c r="L375" s="523">
        <f t="shared" si="54"/>
        <v>2623140</v>
      </c>
      <c r="M375" s="523">
        <v>2623140</v>
      </c>
      <c r="N375" s="523">
        <v>2623140</v>
      </c>
      <c r="O375" s="523">
        <v>2623140</v>
      </c>
      <c r="P375" s="596"/>
    </row>
    <row r="376" spans="1:16" ht="31.5">
      <c r="A376" s="596">
        <v>27</v>
      </c>
      <c r="B376" s="171" t="s">
        <v>25</v>
      </c>
      <c r="C376" s="622" t="s">
        <v>1979</v>
      </c>
      <c r="D376" s="596" t="s">
        <v>809</v>
      </c>
      <c r="E376" s="626"/>
      <c r="F376" s="171">
        <v>2021</v>
      </c>
      <c r="G376" s="171">
        <v>2021</v>
      </c>
      <c r="H376" s="523">
        <v>8943760.4399999995</v>
      </c>
      <c r="I376" s="523"/>
      <c r="J376" s="523">
        <v>8943760.4399999995</v>
      </c>
      <c r="K376" s="523"/>
      <c r="L376" s="523">
        <f t="shared" si="54"/>
        <v>2235940.11</v>
      </c>
      <c r="M376" s="523">
        <v>2235940.11</v>
      </c>
      <c r="N376" s="523">
        <v>2235940.11</v>
      </c>
      <c r="O376" s="523">
        <v>2235940.11</v>
      </c>
      <c r="P376" s="596"/>
    </row>
    <row r="377" spans="1:16" ht="47.25">
      <c r="A377" s="596">
        <v>28</v>
      </c>
      <c r="B377" s="171" t="s">
        <v>25</v>
      </c>
      <c r="C377" s="622" t="s">
        <v>1980</v>
      </c>
      <c r="D377" s="596" t="s">
        <v>809</v>
      </c>
      <c r="E377" s="626"/>
      <c r="F377" s="171">
        <v>2021</v>
      </c>
      <c r="G377" s="171">
        <v>2021</v>
      </c>
      <c r="H377" s="523">
        <v>413000</v>
      </c>
      <c r="I377" s="523"/>
      <c r="J377" s="523">
        <v>413000</v>
      </c>
      <c r="K377" s="523"/>
      <c r="L377" s="523">
        <f t="shared" si="54"/>
        <v>103250</v>
      </c>
      <c r="M377" s="523">
        <v>103250</v>
      </c>
      <c r="N377" s="523">
        <v>103250</v>
      </c>
      <c r="O377" s="523">
        <v>103250</v>
      </c>
      <c r="P377" s="596"/>
    </row>
    <row r="378" spans="1:16" ht="31.5">
      <c r="A378" s="596">
        <v>29</v>
      </c>
      <c r="B378" s="172" t="s">
        <v>1988</v>
      </c>
      <c r="C378" s="622" t="s">
        <v>1981</v>
      </c>
      <c r="D378" s="596" t="s">
        <v>809</v>
      </c>
      <c r="E378" s="626"/>
      <c r="F378" s="171">
        <v>2021</v>
      </c>
      <c r="G378" s="171">
        <v>2021</v>
      </c>
      <c r="H378" s="523">
        <v>4961381.9800000004</v>
      </c>
      <c r="I378" s="523"/>
      <c r="J378" s="523">
        <v>4961381.9800000004</v>
      </c>
      <c r="K378" s="523"/>
      <c r="L378" s="523">
        <f t="shared" si="54"/>
        <v>1240345.4950000001</v>
      </c>
      <c r="M378" s="523">
        <v>1240345.4950000001</v>
      </c>
      <c r="N378" s="523">
        <v>1240345.4950000001</v>
      </c>
      <c r="O378" s="523">
        <v>1240345.4950000001</v>
      </c>
      <c r="P378" s="596"/>
    </row>
    <row r="379" spans="1:16" ht="47.25">
      <c r="A379" s="596">
        <v>30</v>
      </c>
      <c r="B379" s="172" t="s">
        <v>1988</v>
      </c>
      <c r="C379" s="624" t="s">
        <v>1982</v>
      </c>
      <c r="D379" s="596" t="s">
        <v>809</v>
      </c>
      <c r="E379" s="626"/>
      <c r="F379" s="171">
        <v>2021</v>
      </c>
      <c r="G379" s="171">
        <v>2021</v>
      </c>
      <c r="H379" s="523">
        <v>996795.56</v>
      </c>
      <c r="I379" s="523"/>
      <c r="J379" s="523">
        <v>996795.56</v>
      </c>
      <c r="K379" s="523"/>
      <c r="L379" s="523">
        <f t="shared" si="54"/>
        <v>249198.89</v>
      </c>
      <c r="M379" s="523">
        <v>249198.89</v>
      </c>
      <c r="N379" s="523">
        <v>249198.89</v>
      </c>
      <c r="O379" s="523">
        <v>249198.89</v>
      </c>
      <c r="P379" s="596"/>
    </row>
    <row r="380" spans="1:16" ht="47.25">
      <c r="A380" s="596">
        <v>31</v>
      </c>
      <c r="B380" s="171" t="s">
        <v>25</v>
      </c>
      <c r="C380" s="622" t="s">
        <v>1983</v>
      </c>
      <c r="D380" s="596" t="s">
        <v>809</v>
      </c>
      <c r="E380" s="626"/>
      <c r="F380" s="171">
        <v>2021</v>
      </c>
      <c r="G380" s="171">
        <v>2021</v>
      </c>
      <c r="H380" s="523">
        <v>8406320</v>
      </c>
      <c r="I380" s="523"/>
      <c r="J380" s="523">
        <v>8406320</v>
      </c>
      <c r="K380" s="523"/>
      <c r="L380" s="523">
        <f t="shared" si="54"/>
        <v>2101580</v>
      </c>
      <c r="M380" s="523">
        <v>2101580</v>
      </c>
      <c r="N380" s="523">
        <v>2101580</v>
      </c>
      <c r="O380" s="523">
        <v>2101580</v>
      </c>
      <c r="P380" s="596"/>
    </row>
    <row r="381" spans="1:16" ht="78.75">
      <c r="A381" s="596">
        <v>32</v>
      </c>
      <c r="B381" s="171" t="s">
        <v>36</v>
      </c>
      <c r="C381" s="624" t="s">
        <v>1984</v>
      </c>
      <c r="D381" s="596" t="s">
        <v>809</v>
      </c>
      <c r="E381" s="626"/>
      <c r="F381" s="171">
        <v>2021</v>
      </c>
      <c r="G381" s="171">
        <v>2021</v>
      </c>
      <c r="H381" s="523">
        <v>380196</v>
      </c>
      <c r="I381" s="523"/>
      <c r="J381" s="523">
        <v>380196</v>
      </c>
      <c r="K381" s="523"/>
      <c r="L381" s="523">
        <f t="shared" si="54"/>
        <v>95049</v>
      </c>
      <c r="M381" s="523">
        <v>95049</v>
      </c>
      <c r="N381" s="523">
        <v>95049</v>
      </c>
      <c r="O381" s="523">
        <v>95049</v>
      </c>
      <c r="P381" s="596"/>
    </row>
    <row r="382" spans="1:16" ht="78.75">
      <c r="A382" s="596">
        <v>33</v>
      </c>
      <c r="B382" s="172" t="s">
        <v>1988</v>
      </c>
      <c r="C382" s="624" t="s">
        <v>1985</v>
      </c>
      <c r="D382" s="596" t="s">
        <v>809</v>
      </c>
      <c r="E382" s="626"/>
      <c r="F382" s="171">
        <v>2021</v>
      </c>
      <c r="G382" s="171">
        <v>2021</v>
      </c>
      <c r="H382" s="523">
        <v>476994.94</v>
      </c>
      <c r="I382" s="523"/>
      <c r="J382" s="523">
        <v>476994.94</v>
      </c>
      <c r="K382" s="523"/>
      <c r="L382" s="523">
        <f t="shared" si="54"/>
        <v>119248.735</v>
      </c>
      <c r="M382" s="523">
        <v>119248.735</v>
      </c>
      <c r="N382" s="523">
        <v>119248.735</v>
      </c>
      <c r="O382" s="523">
        <v>119248.735</v>
      </c>
      <c r="P382" s="596"/>
    </row>
    <row r="383" spans="1:16" ht="20.25" customHeight="1">
      <c r="A383" s="596">
        <v>34</v>
      </c>
      <c r="B383" s="172" t="s">
        <v>1988</v>
      </c>
      <c r="C383" s="622" t="s">
        <v>1986</v>
      </c>
      <c r="D383" s="596" t="s">
        <v>809</v>
      </c>
      <c r="E383" s="626"/>
      <c r="F383" s="171">
        <v>2020</v>
      </c>
      <c r="G383" s="171">
        <v>2021</v>
      </c>
      <c r="H383" s="523">
        <v>665098.47</v>
      </c>
      <c r="I383" s="523"/>
      <c r="J383" s="523">
        <v>665098.47</v>
      </c>
      <c r="K383" s="523"/>
      <c r="L383" s="523">
        <f t="shared" si="54"/>
        <v>166274.61749999999</v>
      </c>
      <c r="M383" s="523">
        <v>166274.61749999999</v>
      </c>
      <c r="N383" s="523">
        <v>166274.61749999999</v>
      </c>
      <c r="O383" s="523">
        <v>166274.61749999999</v>
      </c>
      <c r="P383" s="596"/>
    </row>
    <row r="384" spans="1:16" ht="63">
      <c r="A384" s="596">
        <v>35</v>
      </c>
      <c r="B384" s="171" t="s">
        <v>25</v>
      </c>
      <c r="C384" s="625" t="s">
        <v>1987</v>
      </c>
      <c r="D384" s="596" t="s">
        <v>809</v>
      </c>
      <c r="E384" s="626"/>
      <c r="F384" s="171">
        <v>2021</v>
      </c>
      <c r="G384" s="171">
        <v>2021</v>
      </c>
      <c r="H384" s="523">
        <v>141600</v>
      </c>
      <c r="I384" s="523"/>
      <c r="J384" s="523">
        <v>141600</v>
      </c>
      <c r="K384" s="523"/>
      <c r="L384" s="523">
        <f t="shared" si="54"/>
        <v>35400</v>
      </c>
      <c r="M384" s="523">
        <v>35400</v>
      </c>
      <c r="N384" s="523">
        <v>35400</v>
      </c>
      <c r="O384" s="523">
        <v>35400</v>
      </c>
      <c r="P384" s="596"/>
    </row>
    <row r="385" spans="1:16" ht="33">
      <c r="A385" s="742" t="s">
        <v>20</v>
      </c>
      <c r="B385" s="742"/>
      <c r="C385" s="742"/>
      <c r="D385" s="742"/>
      <c r="E385" s="742"/>
      <c r="F385" s="742"/>
      <c r="G385" s="742"/>
      <c r="H385" s="433">
        <f t="shared" ref="H385:O385" si="55">SUM(H350:H384)</f>
        <v>82346788.989999995</v>
      </c>
      <c r="I385" s="433">
        <f t="shared" si="55"/>
        <v>1821221.81</v>
      </c>
      <c r="J385" s="433">
        <f t="shared" si="55"/>
        <v>80525567.179999992</v>
      </c>
      <c r="K385" s="433">
        <f t="shared" si="55"/>
        <v>0</v>
      </c>
      <c r="L385" s="433">
        <f t="shared" si="55"/>
        <v>20131391.794999998</v>
      </c>
      <c r="M385" s="433">
        <f t="shared" si="55"/>
        <v>20131391.794999998</v>
      </c>
      <c r="N385" s="433">
        <f t="shared" si="55"/>
        <v>20131391.794999998</v>
      </c>
      <c r="O385" s="433">
        <f t="shared" si="55"/>
        <v>20131391.794999998</v>
      </c>
      <c r="P385" s="138"/>
    </row>
    <row r="386" spans="1:16">
      <c r="A386" s="596"/>
      <c r="B386" s="596"/>
      <c r="C386" s="596"/>
      <c r="D386" s="596"/>
      <c r="E386" s="596"/>
      <c r="F386" s="596"/>
      <c r="G386" s="596"/>
      <c r="H386" s="596"/>
      <c r="I386" s="596"/>
      <c r="J386" s="596"/>
      <c r="K386" s="596"/>
      <c r="L386" s="596"/>
      <c r="M386" s="596"/>
      <c r="N386" s="596"/>
      <c r="O386" s="596"/>
      <c r="P386" s="596"/>
    </row>
    <row r="387" spans="1:16" ht="15.75">
      <c r="A387" s="680" t="s">
        <v>1875</v>
      </c>
      <c r="B387" s="680"/>
      <c r="C387" s="680"/>
      <c r="D387" s="680"/>
      <c r="E387" s="680"/>
      <c r="F387" s="750"/>
      <c r="G387" s="751"/>
      <c r="H387" s="751"/>
      <c r="I387" s="751"/>
      <c r="J387" s="751"/>
      <c r="K387" s="751"/>
      <c r="L387" s="751"/>
      <c r="M387" s="751"/>
      <c r="N387" s="751"/>
      <c r="O387" s="751"/>
      <c r="P387" s="752"/>
    </row>
    <row r="388" spans="1:16" ht="15.75">
      <c r="A388" s="603">
        <v>1</v>
      </c>
      <c r="B388" s="260" t="s">
        <v>25</v>
      </c>
      <c r="C388" s="607" t="s">
        <v>1916</v>
      </c>
      <c r="D388" s="260" t="s">
        <v>853</v>
      </c>
      <c r="E388" s="603"/>
      <c r="F388" s="421">
        <v>39030</v>
      </c>
      <c r="G388" s="260">
        <v>2022</v>
      </c>
      <c r="H388" s="523">
        <v>163800</v>
      </c>
      <c r="I388" s="604"/>
      <c r="J388" s="490">
        <v>81900</v>
      </c>
      <c r="K388" s="604"/>
      <c r="L388" s="490">
        <f>J388/4</f>
        <v>20475</v>
      </c>
      <c r="M388" s="490">
        <v>20475</v>
      </c>
      <c r="N388" s="490">
        <v>20475</v>
      </c>
      <c r="O388" s="490">
        <v>20475</v>
      </c>
      <c r="P388" s="605"/>
    </row>
    <row r="389" spans="1:16" ht="31.5">
      <c r="A389" s="603">
        <v>2</v>
      </c>
      <c r="B389" s="260" t="s">
        <v>25</v>
      </c>
      <c r="C389" s="612" t="s">
        <v>1917</v>
      </c>
      <c r="D389" s="260" t="s">
        <v>853</v>
      </c>
      <c r="E389" s="603"/>
      <c r="F389" s="421">
        <v>39612</v>
      </c>
      <c r="G389" s="260">
        <v>2022</v>
      </c>
      <c r="H389" s="523">
        <v>20450000</v>
      </c>
      <c r="I389" s="604"/>
      <c r="J389" s="490">
        <v>10225000</v>
      </c>
      <c r="K389" s="604"/>
      <c r="L389" s="490">
        <f t="shared" ref="L389:L412" si="56">J389/4</f>
        <v>2556250</v>
      </c>
      <c r="M389" s="490">
        <v>2556250</v>
      </c>
      <c r="N389" s="490">
        <v>2556250</v>
      </c>
      <c r="O389" s="490">
        <v>2556250</v>
      </c>
      <c r="P389" s="605"/>
    </row>
    <row r="390" spans="1:16" ht="31.5">
      <c r="A390" s="603">
        <v>3</v>
      </c>
      <c r="B390" s="260" t="s">
        <v>25</v>
      </c>
      <c r="C390" s="612" t="s">
        <v>1918</v>
      </c>
      <c r="D390" s="260" t="s">
        <v>853</v>
      </c>
      <c r="E390" s="603"/>
      <c r="F390" s="421">
        <v>40336</v>
      </c>
      <c r="G390" s="260">
        <v>2022</v>
      </c>
      <c r="H390" s="523">
        <v>2889000</v>
      </c>
      <c r="I390" s="604"/>
      <c r="J390" s="490">
        <v>1444500</v>
      </c>
      <c r="K390" s="604"/>
      <c r="L390" s="490">
        <f t="shared" si="56"/>
        <v>361125</v>
      </c>
      <c r="M390" s="490">
        <v>361125</v>
      </c>
      <c r="N390" s="490">
        <v>361125</v>
      </c>
      <c r="O390" s="490">
        <v>361125</v>
      </c>
      <c r="P390" s="605"/>
    </row>
    <row r="391" spans="1:16" ht="31.5">
      <c r="A391" s="603">
        <v>4</v>
      </c>
      <c r="B391" s="260" t="s">
        <v>25</v>
      </c>
      <c r="C391" s="612" t="s">
        <v>1919</v>
      </c>
      <c r="D391" s="260" t="s">
        <v>853</v>
      </c>
      <c r="E391" s="603"/>
      <c r="F391" s="421">
        <v>40715</v>
      </c>
      <c r="G391" s="260">
        <v>2022</v>
      </c>
      <c r="H391" s="523">
        <v>693500</v>
      </c>
      <c r="I391" s="604"/>
      <c r="J391" s="490">
        <v>346750</v>
      </c>
      <c r="K391" s="604"/>
      <c r="L391" s="490">
        <f t="shared" si="56"/>
        <v>86687.5</v>
      </c>
      <c r="M391" s="490">
        <v>86687.5</v>
      </c>
      <c r="N391" s="490">
        <v>86687.5</v>
      </c>
      <c r="O391" s="490">
        <v>86687.5</v>
      </c>
      <c r="P391" s="605"/>
    </row>
    <row r="392" spans="1:16" ht="31.5">
      <c r="A392" s="603">
        <v>5</v>
      </c>
      <c r="B392" s="260" t="s">
        <v>25</v>
      </c>
      <c r="C392" s="606" t="s">
        <v>1920</v>
      </c>
      <c r="D392" s="260" t="s">
        <v>853</v>
      </c>
      <c r="E392" s="603"/>
      <c r="F392" s="421">
        <v>42535</v>
      </c>
      <c r="G392" s="260">
        <v>2022</v>
      </c>
      <c r="H392" s="523">
        <v>944000</v>
      </c>
      <c r="I392" s="604"/>
      <c r="J392" s="490">
        <v>0</v>
      </c>
      <c r="K392" s="604"/>
      <c r="L392" s="490">
        <f t="shared" si="56"/>
        <v>0</v>
      </c>
      <c r="M392" s="490">
        <v>0</v>
      </c>
      <c r="N392" s="490">
        <v>0</v>
      </c>
      <c r="O392" s="490">
        <v>0</v>
      </c>
      <c r="P392" s="605"/>
    </row>
    <row r="393" spans="1:16" ht="31.5">
      <c r="A393" s="603">
        <v>6</v>
      </c>
      <c r="B393" s="260" t="s">
        <v>25</v>
      </c>
      <c r="C393" s="607" t="s">
        <v>1921</v>
      </c>
      <c r="D393" s="260" t="s">
        <v>853</v>
      </c>
      <c r="E393" s="603"/>
      <c r="F393" s="421">
        <v>43181</v>
      </c>
      <c r="G393" s="260">
        <v>2022</v>
      </c>
      <c r="H393" s="523">
        <v>225000</v>
      </c>
      <c r="I393" s="604"/>
      <c r="J393" s="490">
        <v>112500</v>
      </c>
      <c r="K393" s="604"/>
      <c r="L393" s="490">
        <f t="shared" si="56"/>
        <v>28125</v>
      </c>
      <c r="M393" s="490">
        <v>28125</v>
      </c>
      <c r="N393" s="490">
        <v>28125</v>
      </c>
      <c r="O393" s="490">
        <v>28125</v>
      </c>
      <c r="P393" s="605"/>
    </row>
    <row r="394" spans="1:16" ht="31.5">
      <c r="A394" s="603">
        <v>7</v>
      </c>
      <c r="B394" s="260" t="s">
        <v>25</v>
      </c>
      <c r="C394" s="606" t="s">
        <v>1922</v>
      </c>
      <c r="D394" s="260" t="s">
        <v>853</v>
      </c>
      <c r="E394" s="603"/>
      <c r="F394" s="613">
        <v>43416</v>
      </c>
      <c r="G394" s="260">
        <v>2022</v>
      </c>
      <c r="H394" s="523">
        <v>120000</v>
      </c>
      <c r="I394" s="604"/>
      <c r="J394" s="490">
        <v>0</v>
      </c>
      <c r="K394" s="604"/>
      <c r="L394" s="490">
        <f t="shared" si="56"/>
        <v>0</v>
      </c>
      <c r="M394" s="490">
        <v>0</v>
      </c>
      <c r="N394" s="490">
        <v>0</v>
      </c>
      <c r="O394" s="490">
        <v>0</v>
      </c>
      <c r="P394" s="605"/>
    </row>
    <row r="395" spans="1:16" ht="47.25">
      <c r="A395" s="603">
        <v>8</v>
      </c>
      <c r="B395" s="260" t="s">
        <v>25</v>
      </c>
      <c r="C395" s="606" t="s">
        <v>1923</v>
      </c>
      <c r="D395" s="260" t="s">
        <v>853</v>
      </c>
      <c r="E395" s="603"/>
      <c r="F395" s="613">
        <v>44048</v>
      </c>
      <c r="G395" s="260">
        <v>2022</v>
      </c>
      <c r="H395" s="523">
        <v>97008</v>
      </c>
      <c r="I395" s="604"/>
      <c r="J395" s="490">
        <v>0</v>
      </c>
      <c r="K395" s="604"/>
      <c r="L395" s="490">
        <f t="shared" si="56"/>
        <v>0</v>
      </c>
      <c r="M395" s="490">
        <v>0</v>
      </c>
      <c r="N395" s="490">
        <v>0</v>
      </c>
      <c r="O395" s="490">
        <v>0</v>
      </c>
      <c r="P395" s="605"/>
    </row>
    <row r="396" spans="1:16" ht="47.25">
      <c r="A396" s="603">
        <v>9</v>
      </c>
      <c r="B396" s="260" t="s">
        <v>25</v>
      </c>
      <c r="C396" s="607" t="s">
        <v>1924</v>
      </c>
      <c r="D396" s="260" t="s">
        <v>853</v>
      </c>
      <c r="E396" s="603"/>
      <c r="F396" s="613">
        <v>44028</v>
      </c>
      <c r="G396" s="260">
        <v>2022</v>
      </c>
      <c r="H396" s="523">
        <v>880000</v>
      </c>
      <c r="I396" s="604"/>
      <c r="J396" s="490">
        <v>440000</v>
      </c>
      <c r="K396" s="604"/>
      <c r="L396" s="490">
        <f t="shared" si="56"/>
        <v>110000</v>
      </c>
      <c r="M396" s="490">
        <v>110000</v>
      </c>
      <c r="N396" s="490">
        <v>110000</v>
      </c>
      <c r="O396" s="490">
        <v>110000</v>
      </c>
      <c r="P396" s="605"/>
    </row>
    <row r="397" spans="1:16" ht="78.75">
      <c r="A397" s="603">
        <v>10</v>
      </c>
      <c r="B397" s="260" t="s">
        <v>25</v>
      </c>
      <c r="C397" s="607" t="s">
        <v>1925</v>
      </c>
      <c r="D397" s="260" t="s">
        <v>853</v>
      </c>
      <c r="E397" s="603"/>
      <c r="F397" s="613">
        <v>43957</v>
      </c>
      <c r="G397" s="260">
        <v>2022</v>
      </c>
      <c r="H397" s="523">
        <v>200000</v>
      </c>
      <c r="I397" s="604"/>
      <c r="J397" s="490">
        <v>0</v>
      </c>
      <c r="K397" s="604"/>
      <c r="L397" s="490">
        <f t="shared" si="56"/>
        <v>0</v>
      </c>
      <c r="M397" s="490">
        <v>0</v>
      </c>
      <c r="N397" s="490">
        <v>0</v>
      </c>
      <c r="O397" s="490">
        <v>0</v>
      </c>
      <c r="P397" s="605"/>
    </row>
    <row r="398" spans="1:16" ht="31.5">
      <c r="A398" s="603">
        <v>11</v>
      </c>
      <c r="B398" s="260" t="s">
        <v>25</v>
      </c>
      <c r="C398" s="606" t="s">
        <v>1926</v>
      </c>
      <c r="D398" s="260" t="s">
        <v>853</v>
      </c>
      <c r="E398" s="603"/>
      <c r="F398" s="613">
        <v>44174</v>
      </c>
      <c r="G398" s="260">
        <v>2022</v>
      </c>
      <c r="H398" s="523">
        <v>250000</v>
      </c>
      <c r="I398" s="604"/>
      <c r="J398" s="490">
        <v>0</v>
      </c>
      <c r="K398" s="604"/>
      <c r="L398" s="490">
        <f t="shared" si="56"/>
        <v>0</v>
      </c>
      <c r="M398" s="490">
        <v>0</v>
      </c>
      <c r="N398" s="490">
        <v>0</v>
      </c>
      <c r="O398" s="490">
        <v>0</v>
      </c>
      <c r="P398" s="605"/>
    </row>
    <row r="399" spans="1:16" ht="31.5">
      <c r="A399" s="603">
        <v>12</v>
      </c>
      <c r="B399" s="260" t="s">
        <v>25</v>
      </c>
      <c r="C399" s="608" t="s">
        <v>1927</v>
      </c>
      <c r="D399" s="260" t="s">
        <v>853</v>
      </c>
      <c r="E399" s="603"/>
      <c r="F399" s="613">
        <v>44125</v>
      </c>
      <c r="G399" s="260">
        <v>2022</v>
      </c>
      <c r="H399" s="523">
        <v>295000</v>
      </c>
      <c r="I399" s="604"/>
      <c r="J399" s="490">
        <v>0</v>
      </c>
      <c r="K399" s="604"/>
      <c r="L399" s="490">
        <f t="shared" si="56"/>
        <v>0</v>
      </c>
      <c r="M399" s="490">
        <v>0</v>
      </c>
      <c r="N399" s="490">
        <v>0</v>
      </c>
      <c r="O399" s="490">
        <v>0</v>
      </c>
      <c r="P399" s="605"/>
    </row>
    <row r="400" spans="1:16" ht="31.5">
      <c r="A400" s="603">
        <v>13</v>
      </c>
      <c r="B400" s="260" t="s">
        <v>25</v>
      </c>
      <c r="C400" s="606" t="s">
        <v>1928</v>
      </c>
      <c r="D400" s="260" t="s">
        <v>853</v>
      </c>
      <c r="E400" s="603"/>
      <c r="F400" s="613">
        <v>44138</v>
      </c>
      <c r="G400" s="260">
        <v>2022</v>
      </c>
      <c r="H400" s="523">
        <v>35000</v>
      </c>
      <c r="I400" s="604"/>
      <c r="J400" s="490">
        <v>0</v>
      </c>
      <c r="K400" s="604"/>
      <c r="L400" s="490">
        <f t="shared" si="56"/>
        <v>0</v>
      </c>
      <c r="M400" s="490">
        <v>0</v>
      </c>
      <c r="N400" s="490">
        <v>0</v>
      </c>
      <c r="O400" s="490">
        <v>0</v>
      </c>
      <c r="P400" s="605"/>
    </row>
    <row r="401" spans="1:16" ht="47.25">
      <c r="A401" s="603">
        <v>14</v>
      </c>
      <c r="B401" s="260" t="s">
        <v>25</v>
      </c>
      <c r="C401" s="606" t="s">
        <v>1929</v>
      </c>
      <c r="D401" s="260" t="s">
        <v>853</v>
      </c>
      <c r="E401" s="603"/>
      <c r="F401" s="613">
        <v>44140</v>
      </c>
      <c r="G401" s="260">
        <v>2022</v>
      </c>
      <c r="H401" s="523">
        <v>95000</v>
      </c>
      <c r="I401" s="604"/>
      <c r="J401" s="490">
        <v>0</v>
      </c>
      <c r="K401" s="604"/>
      <c r="L401" s="490">
        <f t="shared" si="56"/>
        <v>0</v>
      </c>
      <c r="M401" s="490">
        <v>0</v>
      </c>
      <c r="N401" s="490">
        <v>0</v>
      </c>
      <c r="O401" s="490">
        <v>0</v>
      </c>
      <c r="P401" s="605"/>
    </row>
    <row r="402" spans="1:16" ht="63">
      <c r="A402" s="603">
        <v>15</v>
      </c>
      <c r="B402" s="260" t="s">
        <v>25</v>
      </c>
      <c r="C402" s="606" t="s">
        <v>1930</v>
      </c>
      <c r="D402" s="260" t="s">
        <v>853</v>
      </c>
      <c r="E402" s="603"/>
      <c r="F402" s="613">
        <v>44034</v>
      </c>
      <c r="G402" s="260">
        <v>2022</v>
      </c>
      <c r="H402" s="523">
        <v>350000</v>
      </c>
      <c r="I402" s="604"/>
      <c r="J402" s="490">
        <v>0</v>
      </c>
      <c r="K402" s="604"/>
      <c r="L402" s="490">
        <f t="shared" si="56"/>
        <v>0</v>
      </c>
      <c r="M402" s="490">
        <v>0</v>
      </c>
      <c r="N402" s="490">
        <v>0</v>
      </c>
      <c r="O402" s="490">
        <v>0</v>
      </c>
      <c r="P402" s="605"/>
    </row>
    <row r="403" spans="1:16" ht="31.5">
      <c r="A403" s="603">
        <v>16</v>
      </c>
      <c r="B403" s="260" t="s">
        <v>25</v>
      </c>
      <c r="C403" s="608" t="s">
        <v>1931</v>
      </c>
      <c r="D403" s="260" t="s">
        <v>853</v>
      </c>
      <c r="E403" s="603"/>
      <c r="F403" s="613">
        <v>44245</v>
      </c>
      <c r="G403" s="260">
        <v>2022</v>
      </c>
      <c r="H403" s="523">
        <v>33040</v>
      </c>
      <c r="I403" s="604"/>
      <c r="J403" s="490">
        <v>0</v>
      </c>
      <c r="K403" s="604"/>
      <c r="L403" s="490">
        <f t="shared" si="56"/>
        <v>0</v>
      </c>
      <c r="M403" s="490">
        <v>0</v>
      </c>
      <c r="N403" s="490">
        <v>0</v>
      </c>
      <c r="O403" s="490">
        <v>0</v>
      </c>
      <c r="P403" s="605"/>
    </row>
    <row r="404" spans="1:16" ht="31.5">
      <c r="A404" s="603">
        <v>17</v>
      </c>
      <c r="B404" s="260" t="s">
        <v>25</v>
      </c>
      <c r="C404" s="612" t="s">
        <v>1932</v>
      </c>
      <c r="D404" s="260" t="s">
        <v>853</v>
      </c>
      <c r="E404" s="603"/>
      <c r="F404" s="421">
        <v>44286</v>
      </c>
      <c r="G404" s="260">
        <v>2022</v>
      </c>
      <c r="H404" s="523">
        <v>196500</v>
      </c>
      <c r="I404" s="604"/>
      <c r="J404" s="490">
        <v>0</v>
      </c>
      <c r="K404" s="604"/>
      <c r="L404" s="490">
        <f t="shared" si="56"/>
        <v>0</v>
      </c>
      <c r="M404" s="490">
        <v>0</v>
      </c>
      <c r="N404" s="490">
        <v>0</v>
      </c>
      <c r="O404" s="490">
        <v>0</v>
      </c>
      <c r="P404" s="605"/>
    </row>
    <row r="405" spans="1:16" ht="31.5">
      <c r="A405" s="603">
        <v>18</v>
      </c>
      <c r="B405" s="260" t="s">
        <v>25</v>
      </c>
      <c r="C405" s="606" t="s">
        <v>1933</v>
      </c>
      <c r="D405" s="260" t="s">
        <v>853</v>
      </c>
      <c r="E405" s="597"/>
      <c r="F405" s="613">
        <v>44218</v>
      </c>
      <c r="G405" s="260">
        <v>2022</v>
      </c>
      <c r="H405" s="523">
        <v>240000</v>
      </c>
      <c r="I405" s="535"/>
      <c r="J405" s="535">
        <v>0</v>
      </c>
      <c r="K405" s="535"/>
      <c r="L405" s="490">
        <f t="shared" si="56"/>
        <v>0</v>
      </c>
      <c r="M405" s="535">
        <v>0</v>
      </c>
      <c r="N405" s="535">
        <v>0</v>
      </c>
      <c r="O405" s="535">
        <v>0</v>
      </c>
      <c r="P405" s="597"/>
    </row>
    <row r="406" spans="1:16" ht="15.75">
      <c r="A406" s="603">
        <v>19</v>
      </c>
      <c r="B406" s="260" t="s">
        <v>25</v>
      </c>
      <c r="C406" s="608" t="s">
        <v>1934</v>
      </c>
      <c r="D406" s="260" t="s">
        <v>853</v>
      </c>
      <c r="E406" s="597"/>
      <c r="F406" s="613">
        <v>44278</v>
      </c>
      <c r="G406" s="260">
        <v>2022</v>
      </c>
      <c r="H406" s="523">
        <v>141600</v>
      </c>
      <c r="I406" s="535"/>
      <c r="J406" s="535">
        <v>0</v>
      </c>
      <c r="K406" s="535"/>
      <c r="L406" s="490">
        <f t="shared" si="56"/>
        <v>0</v>
      </c>
      <c r="M406" s="535">
        <v>0</v>
      </c>
      <c r="N406" s="535">
        <v>0</v>
      </c>
      <c r="O406" s="535">
        <v>0</v>
      </c>
      <c r="P406" s="597"/>
    </row>
    <row r="407" spans="1:16" ht="15.75">
      <c r="A407" s="603">
        <v>20</v>
      </c>
      <c r="B407" s="260" t="s">
        <v>25</v>
      </c>
      <c r="C407" s="607" t="s">
        <v>1935</v>
      </c>
      <c r="D407" s="260" t="s">
        <v>853</v>
      </c>
      <c r="E407" s="597"/>
      <c r="F407" s="613">
        <v>44028</v>
      </c>
      <c r="G407" s="260">
        <v>2022</v>
      </c>
      <c r="H407" s="523">
        <v>5000000</v>
      </c>
      <c r="I407" s="535"/>
      <c r="J407" s="535">
        <v>5000000</v>
      </c>
      <c r="K407" s="535"/>
      <c r="L407" s="490">
        <f t="shared" si="56"/>
        <v>1250000</v>
      </c>
      <c r="M407" s="535">
        <v>1250000</v>
      </c>
      <c r="N407" s="535">
        <v>1250000</v>
      </c>
      <c r="O407" s="535">
        <v>1250000</v>
      </c>
      <c r="P407" s="597"/>
    </row>
    <row r="408" spans="1:16" ht="31.5">
      <c r="A408" s="603">
        <v>21</v>
      </c>
      <c r="B408" s="260" t="s">
        <v>25</v>
      </c>
      <c r="C408" s="607" t="s">
        <v>1936</v>
      </c>
      <c r="D408" s="260" t="s">
        <v>853</v>
      </c>
      <c r="E408" s="597"/>
      <c r="F408" s="613">
        <v>44028</v>
      </c>
      <c r="G408" s="260">
        <v>2022</v>
      </c>
      <c r="H408" s="523">
        <v>1787676.08</v>
      </c>
      <c r="I408" s="535"/>
      <c r="J408" s="535">
        <v>1430140.86</v>
      </c>
      <c r="K408" s="535"/>
      <c r="L408" s="490">
        <f t="shared" si="56"/>
        <v>357535.21500000003</v>
      </c>
      <c r="M408" s="535">
        <v>357535.21500000003</v>
      </c>
      <c r="N408" s="535">
        <v>357535.21500000003</v>
      </c>
      <c r="O408" s="535">
        <v>357535.21500000003</v>
      </c>
      <c r="P408" s="597"/>
    </row>
    <row r="409" spans="1:16" ht="15.75">
      <c r="A409" s="603">
        <v>22</v>
      </c>
      <c r="B409" s="260" t="s">
        <v>25</v>
      </c>
      <c r="C409" s="606" t="s">
        <v>1937</v>
      </c>
      <c r="D409" s="260" t="s">
        <v>853</v>
      </c>
      <c r="E409" s="597"/>
      <c r="F409" s="614">
        <v>44278</v>
      </c>
      <c r="G409" s="260">
        <v>2022</v>
      </c>
      <c r="H409" s="523">
        <v>102660</v>
      </c>
      <c r="I409" s="535"/>
      <c r="J409" s="535">
        <v>0</v>
      </c>
      <c r="K409" s="535"/>
      <c r="L409" s="490">
        <f t="shared" si="56"/>
        <v>0</v>
      </c>
      <c r="M409" s="535">
        <v>0</v>
      </c>
      <c r="N409" s="535">
        <v>0</v>
      </c>
      <c r="O409" s="535">
        <v>0</v>
      </c>
      <c r="P409" s="597"/>
    </row>
    <row r="410" spans="1:16" ht="60">
      <c r="A410" s="603">
        <v>23</v>
      </c>
      <c r="B410" s="260" t="s">
        <v>25</v>
      </c>
      <c r="C410" s="609" t="s">
        <v>1938</v>
      </c>
      <c r="D410" s="260" t="s">
        <v>853</v>
      </c>
      <c r="E410" s="597"/>
      <c r="F410" s="613">
        <v>44271</v>
      </c>
      <c r="G410" s="260">
        <v>2022</v>
      </c>
      <c r="H410" s="523">
        <v>354000</v>
      </c>
      <c r="I410" s="535"/>
      <c r="J410" s="535">
        <v>0</v>
      </c>
      <c r="K410" s="535"/>
      <c r="L410" s="490">
        <f t="shared" si="56"/>
        <v>0</v>
      </c>
      <c r="M410" s="535">
        <v>0</v>
      </c>
      <c r="N410" s="535">
        <v>0</v>
      </c>
      <c r="O410" s="535">
        <v>0</v>
      </c>
      <c r="P410" s="597"/>
    </row>
    <row r="411" spans="1:16" ht="47.25">
      <c r="A411" s="603">
        <v>24</v>
      </c>
      <c r="B411" s="260" t="s">
        <v>25</v>
      </c>
      <c r="C411" s="610" t="s">
        <v>1939</v>
      </c>
      <c r="D411" s="260" t="s">
        <v>853</v>
      </c>
      <c r="E411" s="597"/>
      <c r="F411" s="613">
        <v>44277</v>
      </c>
      <c r="G411" s="260">
        <v>2022</v>
      </c>
      <c r="H411" s="523">
        <v>118000</v>
      </c>
      <c r="I411" s="535"/>
      <c r="J411" s="535">
        <v>0</v>
      </c>
      <c r="K411" s="535"/>
      <c r="L411" s="490">
        <f t="shared" si="56"/>
        <v>0</v>
      </c>
      <c r="M411" s="535">
        <v>0</v>
      </c>
      <c r="N411" s="535">
        <v>0</v>
      </c>
      <c r="O411" s="535">
        <v>0</v>
      </c>
      <c r="P411" s="597"/>
    </row>
    <row r="412" spans="1:16" ht="31.5">
      <c r="A412" s="603">
        <v>25</v>
      </c>
      <c r="B412" s="260" t="s">
        <v>25</v>
      </c>
      <c r="C412" s="611" t="s">
        <v>1940</v>
      </c>
      <c r="D412" s="260" t="s">
        <v>853</v>
      </c>
      <c r="E412" s="597"/>
      <c r="F412" s="613">
        <v>44280</v>
      </c>
      <c r="G412" s="260">
        <v>2022</v>
      </c>
      <c r="H412" s="523">
        <v>106200</v>
      </c>
      <c r="I412" s="535"/>
      <c r="J412" s="535">
        <v>0</v>
      </c>
      <c r="K412" s="535"/>
      <c r="L412" s="490">
        <f t="shared" si="56"/>
        <v>0</v>
      </c>
      <c r="M412" s="535">
        <v>0</v>
      </c>
      <c r="N412" s="535">
        <v>0</v>
      </c>
      <c r="O412" s="535">
        <v>0</v>
      </c>
      <c r="P412" s="597"/>
    </row>
    <row r="413" spans="1:16" ht="33">
      <c r="A413" s="742" t="s">
        <v>20</v>
      </c>
      <c r="B413" s="742"/>
      <c r="C413" s="742"/>
      <c r="D413" s="742"/>
      <c r="E413" s="742"/>
      <c r="F413" s="742"/>
      <c r="G413" s="742"/>
      <c r="H413" s="433">
        <f>SUM(H388:H412)</f>
        <v>35766984.079999998</v>
      </c>
      <c r="I413" s="433">
        <f t="shared" ref="I413:O413" si="57">SUM(I388:I412)</f>
        <v>0</v>
      </c>
      <c r="J413" s="433">
        <f t="shared" si="57"/>
        <v>19080790.859999999</v>
      </c>
      <c r="K413" s="433">
        <f t="shared" si="57"/>
        <v>0</v>
      </c>
      <c r="L413" s="433">
        <f t="shared" si="57"/>
        <v>4770197.7149999999</v>
      </c>
      <c r="M413" s="433">
        <f t="shared" si="57"/>
        <v>4770197.7149999999</v>
      </c>
      <c r="N413" s="433">
        <f t="shared" si="57"/>
        <v>4770197.7149999999</v>
      </c>
      <c r="O413" s="433">
        <f t="shared" si="57"/>
        <v>4770197.7149999999</v>
      </c>
      <c r="P413" s="138"/>
    </row>
    <row r="414" spans="1:16" ht="15" customHeight="1">
      <c r="A414" s="768"/>
      <c r="B414" s="769"/>
      <c r="C414" s="769"/>
      <c r="D414" s="769"/>
      <c r="E414" s="769"/>
      <c r="F414" s="769"/>
      <c r="G414" s="769"/>
      <c r="H414" s="769"/>
      <c r="I414" s="769"/>
      <c r="J414" s="769"/>
      <c r="K414" s="769"/>
      <c r="L414" s="769"/>
      <c r="M414" s="769"/>
      <c r="N414" s="769"/>
      <c r="O414" s="769"/>
      <c r="P414" s="770"/>
    </row>
    <row r="415" spans="1:16" ht="28.5" customHeight="1">
      <c r="A415" s="680" t="s">
        <v>1853</v>
      </c>
      <c r="B415" s="680"/>
      <c r="C415" s="680"/>
      <c r="D415" s="680"/>
      <c r="E415" s="680"/>
      <c r="F415" s="750"/>
      <c r="G415" s="751"/>
      <c r="H415" s="751"/>
      <c r="I415" s="751"/>
      <c r="J415" s="751"/>
      <c r="K415" s="751"/>
      <c r="L415" s="751"/>
      <c r="M415" s="751"/>
      <c r="N415" s="751"/>
      <c r="O415" s="751"/>
      <c r="P415" s="752"/>
    </row>
    <row r="416" spans="1:16" ht="53.25" customHeight="1">
      <c r="A416" s="630">
        <v>1</v>
      </c>
      <c r="B416" s="631" t="s">
        <v>25</v>
      </c>
      <c r="C416" s="634" t="s">
        <v>1998</v>
      </c>
      <c r="D416" s="631" t="s">
        <v>832</v>
      </c>
      <c r="E416" s="631"/>
      <c r="F416" s="172" t="s">
        <v>2009</v>
      </c>
      <c r="G416" s="260" t="s">
        <v>2010</v>
      </c>
      <c r="H416" s="175">
        <v>14026424.59</v>
      </c>
      <c r="I416" s="636">
        <v>11042762.689999999</v>
      </c>
      <c r="J416" s="632">
        <f t="shared" ref="J416:J426" si="58">H416-I416</f>
        <v>2983661.9000000004</v>
      </c>
      <c r="K416" s="632"/>
      <c r="L416" s="632">
        <f>J416/4</f>
        <v>745915.47500000009</v>
      </c>
      <c r="M416" s="632">
        <v>745915.47500000009</v>
      </c>
      <c r="N416" s="632">
        <v>745915.47500000009</v>
      </c>
      <c r="O416" s="632">
        <v>745915.47500000009</v>
      </c>
      <c r="P416" s="633"/>
    </row>
    <row r="417" spans="1:16" ht="53.25" customHeight="1">
      <c r="A417" s="630">
        <v>2</v>
      </c>
      <c r="B417" s="631" t="s">
        <v>25</v>
      </c>
      <c r="C417" s="634" t="s">
        <v>1999</v>
      </c>
      <c r="D417" s="631" t="s">
        <v>832</v>
      </c>
      <c r="E417" s="631"/>
      <c r="F417" s="187">
        <v>44134</v>
      </c>
      <c r="G417" s="174">
        <v>44387</v>
      </c>
      <c r="H417" s="184">
        <v>8278000</v>
      </c>
      <c r="I417" s="637">
        <v>2572373.52</v>
      </c>
      <c r="J417" s="632">
        <f t="shared" si="58"/>
        <v>5705626.4800000004</v>
      </c>
      <c r="K417" s="632"/>
      <c r="L417" s="632">
        <f t="shared" ref="L417:L426" si="59">J417/4</f>
        <v>1426406.62</v>
      </c>
      <c r="M417" s="632">
        <v>1426406.62</v>
      </c>
      <c r="N417" s="632">
        <v>1426406.62</v>
      </c>
      <c r="O417" s="632">
        <v>1426406.62</v>
      </c>
      <c r="P417" s="633"/>
    </row>
    <row r="418" spans="1:16" ht="53.25" customHeight="1">
      <c r="A418" s="630">
        <v>3</v>
      </c>
      <c r="B418" s="631" t="s">
        <v>25</v>
      </c>
      <c r="C418" s="634" t="s">
        <v>2000</v>
      </c>
      <c r="D418" s="631" t="s">
        <v>832</v>
      </c>
      <c r="E418" s="631"/>
      <c r="F418" s="187">
        <v>43860</v>
      </c>
      <c r="G418" s="174">
        <v>44559</v>
      </c>
      <c r="H418" s="175">
        <v>5139209.79</v>
      </c>
      <c r="I418" s="636">
        <v>4139804.48</v>
      </c>
      <c r="J418" s="632">
        <f t="shared" si="58"/>
        <v>999405.31</v>
      </c>
      <c r="K418" s="632"/>
      <c r="L418" s="632">
        <f t="shared" si="59"/>
        <v>249851.32750000001</v>
      </c>
      <c r="M418" s="632">
        <v>249851.32750000001</v>
      </c>
      <c r="N418" s="632">
        <v>249851.32750000001</v>
      </c>
      <c r="O418" s="632">
        <v>249851.32750000001</v>
      </c>
      <c r="P418" s="633"/>
    </row>
    <row r="419" spans="1:16" ht="53.25" customHeight="1">
      <c r="A419" s="630">
        <v>4</v>
      </c>
      <c r="B419" s="631" t="s">
        <v>25</v>
      </c>
      <c r="C419" s="634" t="s">
        <v>2001</v>
      </c>
      <c r="D419" s="631" t="s">
        <v>832</v>
      </c>
      <c r="E419" s="631"/>
      <c r="F419" s="187">
        <v>44141</v>
      </c>
      <c r="G419" s="174">
        <v>44440</v>
      </c>
      <c r="H419" s="175">
        <v>20561061</v>
      </c>
      <c r="I419" s="636">
        <v>6432438.9900000002</v>
      </c>
      <c r="J419" s="632">
        <f t="shared" si="58"/>
        <v>14128622.01</v>
      </c>
      <c r="K419" s="632"/>
      <c r="L419" s="632">
        <f t="shared" si="59"/>
        <v>3532155.5024999999</v>
      </c>
      <c r="M419" s="632">
        <v>3532155.5024999999</v>
      </c>
      <c r="N419" s="632">
        <v>3532155.5024999999</v>
      </c>
      <c r="O419" s="632">
        <v>3532155.5024999999</v>
      </c>
      <c r="P419" s="633"/>
    </row>
    <row r="420" spans="1:16" ht="53.25" customHeight="1">
      <c r="A420" s="630">
        <v>5</v>
      </c>
      <c r="B420" s="631" t="s">
        <v>25</v>
      </c>
      <c r="C420" s="634" t="s">
        <v>2002</v>
      </c>
      <c r="D420" s="631" t="s">
        <v>832</v>
      </c>
      <c r="E420" s="631"/>
      <c r="F420" s="187">
        <v>43854</v>
      </c>
      <c r="G420" s="174">
        <v>44553</v>
      </c>
      <c r="H420" s="175">
        <v>12248056</v>
      </c>
      <c r="I420" s="636">
        <v>7600074.2800000003</v>
      </c>
      <c r="J420" s="632">
        <f t="shared" si="58"/>
        <v>4647981.72</v>
      </c>
      <c r="K420" s="632"/>
      <c r="L420" s="632">
        <f t="shared" si="59"/>
        <v>1161995.43</v>
      </c>
      <c r="M420" s="632">
        <v>1161995.43</v>
      </c>
      <c r="N420" s="632">
        <v>1161995.43</v>
      </c>
      <c r="O420" s="632">
        <v>1161995.43</v>
      </c>
      <c r="P420" s="633"/>
    </row>
    <row r="421" spans="1:16" ht="53.25" customHeight="1">
      <c r="A421" s="630">
        <v>6</v>
      </c>
      <c r="B421" s="631" t="s">
        <v>25</v>
      </c>
      <c r="C421" s="634" t="s">
        <v>2003</v>
      </c>
      <c r="D421" s="631" t="s">
        <v>832</v>
      </c>
      <c r="E421" s="631"/>
      <c r="F421" s="187">
        <v>44238</v>
      </c>
      <c r="G421" s="174">
        <v>44557</v>
      </c>
      <c r="H421" s="175">
        <v>584085.25</v>
      </c>
      <c r="I421" s="636">
        <v>0</v>
      </c>
      <c r="J421" s="632">
        <f t="shared" si="58"/>
        <v>584085.25</v>
      </c>
      <c r="K421" s="632"/>
      <c r="L421" s="632">
        <f t="shared" si="59"/>
        <v>146021.3125</v>
      </c>
      <c r="M421" s="632">
        <v>146021.3125</v>
      </c>
      <c r="N421" s="632">
        <v>146021.3125</v>
      </c>
      <c r="O421" s="632">
        <v>146021.3125</v>
      </c>
      <c r="P421" s="633"/>
    </row>
    <row r="422" spans="1:16" ht="53.25" customHeight="1">
      <c r="A422" s="630">
        <v>7</v>
      </c>
      <c r="B422" s="631" t="s">
        <v>25</v>
      </c>
      <c r="C422" s="635" t="s">
        <v>2004</v>
      </c>
      <c r="D422" s="631" t="s">
        <v>832</v>
      </c>
      <c r="E422" s="631"/>
      <c r="F422" s="187">
        <v>44260</v>
      </c>
      <c r="G422" s="187">
        <v>44460</v>
      </c>
      <c r="H422" s="184">
        <v>684069</v>
      </c>
      <c r="I422" s="636">
        <v>0</v>
      </c>
      <c r="J422" s="632">
        <f t="shared" si="58"/>
        <v>684069</v>
      </c>
      <c r="K422" s="632"/>
      <c r="L422" s="632">
        <f t="shared" si="59"/>
        <v>171017.25</v>
      </c>
      <c r="M422" s="632">
        <v>171017.25</v>
      </c>
      <c r="N422" s="632">
        <v>171017.25</v>
      </c>
      <c r="O422" s="632">
        <v>171017.25</v>
      </c>
      <c r="P422" s="633"/>
    </row>
    <row r="423" spans="1:16" ht="53.25" customHeight="1">
      <c r="A423" s="630">
        <v>8</v>
      </c>
      <c r="B423" s="631" t="s">
        <v>25</v>
      </c>
      <c r="C423" s="635" t="s">
        <v>2005</v>
      </c>
      <c r="D423" s="631" t="s">
        <v>832</v>
      </c>
      <c r="E423" s="631"/>
      <c r="F423" s="155">
        <v>44284</v>
      </c>
      <c r="G423" s="155">
        <v>44923</v>
      </c>
      <c r="H423" s="176">
        <v>3433380</v>
      </c>
      <c r="I423" s="636">
        <v>0</v>
      </c>
      <c r="J423" s="632">
        <f t="shared" si="58"/>
        <v>3433380</v>
      </c>
      <c r="K423" s="632"/>
      <c r="L423" s="632">
        <f t="shared" si="59"/>
        <v>858345</v>
      </c>
      <c r="M423" s="632">
        <v>858345</v>
      </c>
      <c r="N423" s="632">
        <v>858345</v>
      </c>
      <c r="O423" s="632">
        <v>858345</v>
      </c>
      <c r="P423" s="633"/>
    </row>
    <row r="424" spans="1:16" ht="53.25" customHeight="1">
      <c r="A424" s="630">
        <v>9</v>
      </c>
      <c r="B424" s="631" t="s">
        <v>25</v>
      </c>
      <c r="C424" s="635" t="s">
        <v>2006</v>
      </c>
      <c r="D424" s="631" t="s">
        <v>832</v>
      </c>
      <c r="E424" s="631"/>
      <c r="F424" s="155">
        <v>44267</v>
      </c>
      <c r="G424" s="155">
        <v>44566</v>
      </c>
      <c r="H424" s="176">
        <v>6918568.6299999999</v>
      </c>
      <c r="I424" s="636">
        <v>0</v>
      </c>
      <c r="J424" s="632">
        <f t="shared" si="58"/>
        <v>6918568.6299999999</v>
      </c>
      <c r="K424" s="632"/>
      <c r="L424" s="632">
        <f t="shared" si="59"/>
        <v>1729642.1575</v>
      </c>
      <c r="M424" s="632">
        <v>1729642.1575</v>
      </c>
      <c r="N424" s="632">
        <v>1729642.1575</v>
      </c>
      <c r="O424" s="632">
        <v>1729642.1575</v>
      </c>
      <c r="P424" s="633"/>
    </row>
    <row r="425" spans="1:16" ht="53.25" customHeight="1">
      <c r="A425" s="630">
        <v>10</v>
      </c>
      <c r="B425" s="631" t="s">
        <v>25</v>
      </c>
      <c r="C425" s="635" t="s">
        <v>2007</v>
      </c>
      <c r="D425" s="631" t="s">
        <v>832</v>
      </c>
      <c r="E425" s="631"/>
      <c r="F425" s="155">
        <v>44267</v>
      </c>
      <c r="G425" s="155">
        <v>44566</v>
      </c>
      <c r="H425" s="176">
        <v>2797226.41</v>
      </c>
      <c r="I425" s="638">
        <v>0</v>
      </c>
      <c r="J425" s="632">
        <f t="shared" si="58"/>
        <v>2797226.41</v>
      </c>
      <c r="K425" s="632"/>
      <c r="L425" s="632">
        <f t="shared" si="59"/>
        <v>699306.60250000004</v>
      </c>
      <c r="M425" s="632">
        <v>699306.60250000004</v>
      </c>
      <c r="N425" s="632">
        <v>699306.60250000004</v>
      </c>
      <c r="O425" s="632">
        <v>699306.60250000004</v>
      </c>
      <c r="P425" s="633"/>
    </row>
    <row r="426" spans="1:16" ht="53.25" customHeight="1">
      <c r="A426" s="630">
        <v>11</v>
      </c>
      <c r="B426" s="631" t="s">
        <v>25</v>
      </c>
      <c r="C426" s="635" t="s">
        <v>2008</v>
      </c>
      <c r="D426" s="631" t="s">
        <v>832</v>
      </c>
      <c r="E426" s="631"/>
      <c r="F426" s="155">
        <v>44267</v>
      </c>
      <c r="G426" s="155">
        <v>44566</v>
      </c>
      <c r="H426" s="176">
        <v>2873548.52</v>
      </c>
      <c r="I426" s="638">
        <v>0</v>
      </c>
      <c r="J426" s="632">
        <f t="shared" si="58"/>
        <v>2873548.52</v>
      </c>
      <c r="K426" s="632"/>
      <c r="L426" s="632">
        <f t="shared" si="59"/>
        <v>718387.13</v>
      </c>
      <c r="M426" s="632">
        <v>718387.13</v>
      </c>
      <c r="N426" s="632">
        <v>718387.13</v>
      </c>
      <c r="O426" s="632">
        <v>718387.13</v>
      </c>
      <c r="P426" s="633"/>
    </row>
    <row r="427" spans="1:16" ht="43.5" customHeight="1">
      <c r="A427" s="742" t="s">
        <v>20</v>
      </c>
      <c r="B427" s="742"/>
      <c r="C427" s="742"/>
      <c r="D427" s="742"/>
      <c r="E427" s="742"/>
      <c r="F427" s="742"/>
      <c r="G427" s="742"/>
      <c r="H427" s="433">
        <f t="shared" ref="H427:O427" si="60">SUM(H416:H426)</f>
        <v>77543629.189999983</v>
      </c>
      <c r="I427" s="433">
        <f t="shared" si="60"/>
        <v>31787453.960000001</v>
      </c>
      <c r="J427" s="433">
        <f t="shared" si="60"/>
        <v>45756175.230000012</v>
      </c>
      <c r="K427" s="433">
        <f t="shared" si="60"/>
        <v>0</v>
      </c>
      <c r="L427" s="433">
        <f t="shared" si="60"/>
        <v>11439043.807500003</v>
      </c>
      <c r="M427" s="433">
        <f t="shared" si="60"/>
        <v>11439043.807500003</v>
      </c>
      <c r="N427" s="433">
        <f t="shared" si="60"/>
        <v>11439043.807500003</v>
      </c>
      <c r="O427" s="433">
        <f t="shared" si="60"/>
        <v>11439043.807500003</v>
      </c>
      <c r="P427" s="138"/>
    </row>
    <row r="428" spans="1:16" ht="13.5" customHeight="1">
      <c r="A428" s="768"/>
      <c r="B428" s="769"/>
      <c r="C428" s="769"/>
      <c r="D428" s="769"/>
      <c r="E428" s="769"/>
      <c r="F428" s="769"/>
      <c r="G428" s="769"/>
      <c r="H428" s="769"/>
      <c r="I428" s="769"/>
      <c r="J428" s="769"/>
      <c r="K428" s="769"/>
      <c r="L428" s="769"/>
      <c r="M428" s="769"/>
      <c r="N428" s="769"/>
      <c r="O428" s="769"/>
      <c r="P428" s="770"/>
    </row>
    <row r="429" spans="1:16" ht="28.5" customHeight="1">
      <c r="A429" s="746" t="s">
        <v>1866</v>
      </c>
      <c r="B429" s="747"/>
      <c r="C429" s="747"/>
      <c r="D429" s="747"/>
      <c r="E429" s="748"/>
      <c r="F429" s="750"/>
      <c r="G429" s="751"/>
      <c r="H429" s="751"/>
      <c r="I429" s="751"/>
      <c r="J429" s="751"/>
      <c r="K429" s="751"/>
      <c r="L429" s="751"/>
      <c r="M429" s="751"/>
      <c r="N429" s="751"/>
      <c r="O429" s="751"/>
      <c r="P429" s="752"/>
    </row>
    <row r="430" spans="1:16" ht="15.75">
      <c r="A430" s="597">
        <v>1</v>
      </c>
      <c r="B430" s="597" t="s">
        <v>25</v>
      </c>
      <c r="C430" s="615" t="s">
        <v>1941</v>
      </c>
      <c r="D430" s="597" t="s">
        <v>838</v>
      </c>
      <c r="E430" s="597"/>
      <c r="F430" s="617" t="s">
        <v>1949</v>
      </c>
      <c r="G430" s="618">
        <v>44312</v>
      </c>
      <c r="H430" s="620">
        <v>8849000</v>
      </c>
      <c r="I430" s="535"/>
      <c r="J430" s="620">
        <v>2563752.64</v>
      </c>
      <c r="K430" s="535"/>
      <c r="L430" s="535">
        <f>J430/4</f>
        <v>640938.16</v>
      </c>
      <c r="M430" s="535">
        <v>640938.16</v>
      </c>
      <c r="N430" s="535">
        <v>640938.16</v>
      </c>
      <c r="O430" s="535">
        <v>640938.16</v>
      </c>
      <c r="P430" s="597"/>
    </row>
    <row r="431" spans="1:16" ht="42.75" customHeight="1">
      <c r="A431" s="597">
        <v>2</v>
      </c>
      <c r="B431" s="597" t="s">
        <v>25</v>
      </c>
      <c r="C431" s="615" t="s">
        <v>1942</v>
      </c>
      <c r="D431" s="597" t="s">
        <v>838</v>
      </c>
      <c r="E431" s="597"/>
      <c r="F431" s="618">
        <v>44068</v>
      </c>
      <c r="G431" s="618">
        <v>44463</v>
      </c>
      <c r="H431" s="620">
        <v>5449000</v>
      </c>
      <c r="I431" s="535"/>
      <c r="J431" s="620">
        <v>2828657.9</v>
      </c>
      <c r="K431" s="535"/>
      <c r="L431" s="535">
        <f t="shared" ref="L431:L437" si="61">J431/4</f>
        <v>707164.47499999998</v>
      </c>
      <c r="M431" s="535">
        <v>707164.47499999998</v>
      </c>
      <c r="N431" s="535">
        <v>707164.47499999998</v>
      </c>
      <c r="O431" s="535">
        <v>707164.47499999998</v>
      </c>
      <c r="P431" s="597"/>
    </row>
    <row r="432" spans="1:16" ht="36.75" customHeight="1">
      <c r="A432" s="597">
        <v>3</v>
      </c>
      <c r="B432" s="597" t="s">
        <v>25</v>
      </c>
      <c r="C432" s="615" t="s">
        <v>1943</v>
      </c>
      <c r="D432" s="597" t="s">
        <v>838</v>
      </c>
      <c r="E432" s="597"/>
      <c r="F432" s="617" t="s">
        <v>1950</v>
      </c>
      <c r="G432" s="618">
        <v>44309</v>
      </c>
      <c r="H432" s="620">
        <v>4965160.0999999996</v>
      </c>
      <c r="I432" s="535"/>
      <c r="J432" s="620"/>
      <c r="K432" s="535"/>
      <c r="L432" s="535">
        <f t="shared" si="61"/>
        <v>0</v>
      </c>
      <c r="M432" s="535">
        <v>0</v>
      </c>
      <c r="N432" s="535">
        <v>0</v>
      </c>
      <c r="O432" s="535">
        <v>0</v>
      </c>
      <c r="P432" s="597"/>
    </row>
    <row r="433" spans="1:16" ht="28.5" customHeight="1">
      <c r="A433" s="597">
        <v>4</v>
      </c>
      <c r="B433" s="597" t="s">
        <v>25</v>
      </c>
      <c r="C433" s="615" t="s">
        <v>1944</v>
      </c>
      <c r="D433" s="597" t="s">
        <v>838</v>
      </c>
      <c r="E433" s="597"/>
      <c r="F433" s="617" t="s">
        <v>1951</v>
      </c>
      <c r="G433" s="618">
        <v>44527</v>
      </c>
      <c r="H433" s="620">
        <v>2182938.52</v>
      </c>
      <c r="I433" s="535"/>
      <c r="J433" s="620">
        <v>2182938.52</v>
      </c>
      <c r="K433" s="535"/>
      <c r="L433" s="535">
        <f t="shared" si="61"/>
        <v>545734.63</v>
      </c>
      <c r="M433" s="535">
        <v>545734.63</v>
      </c>
      <c r="N433" s="535">
        <v>545734.63</v>
      </c>
      <c r="O433" s="535">
        <v>545734.63</v>
      </c>
      <c r="P433" s="597"/>
    </row>
    <row r="434" spans="1:16" ht="28.5" customHeight="1">
      <c r="A434" s="597">
        <v>5</v>
      </c>
      <c r="B434" s="597" t="s">
        <v>25</v>
      </c>
      <c r="C434" s="616" t="s">
        <v>1945</v>
      </c>
      <c r="D434" s="597" t="s">
        <v>838</v>
      </c>
      <c r="E434" s="597"/>
      <c r="F434" s="619">
        <v>44258</v>
      </c>
      <c r="G434" s="619">
        <v>44548</v>
      </c>
      <c r="H434" s="621">
        <v>5821019.1200000001</v>
      </c>
      <c r="I434" s="535"/>
      <c r="J434" s="621">
        <v>5821019.1200000001</v>
      </c>
      <c r="K434" s="535"/>
      <c r="L434" s="535">
        <f t="shared" si="61"/>
        <v>1455254.78</v>
      </c>
      <c r="M434" s="535">
        <v>1455254.78</v>
      </c>
      <c r="N434" s="535">
        <v>1455254.78</v>
      </c>
      <c r="O434" s="535">
        <v>1455254.78</v>
      </c>
      <c r="P434" s="597"/>
    </row>
    <row r="435" spans="1:16" ht="28.5" customHeight="1">
      <c r="A435" s="597">
        <v>6</v>
      </c>
      <c r="B435" s="597" t="s">
        <v>25</v>
      </c>
      <c r="C435" s="616" t="s">
        <v>1946</v>
      </c>
      <c r="D435" s="597" t="s">
        <v>838</v>
      </c>
      <c r="E435" s="597"/>
      <c r="F435" s="619">
        <v>44279</v>
      </c>
      <c r="G435" s="619">
        <v>44548</v>
      </c>
      <c r="H435" s="621">
        <v>17971970</v>
      </c>
      <c r="I435" s="535"/>
      <c r="J435" s="621">
        <v>17971970</v>
      </c>
      <c r="K435" s="535"/>
      <c r="L435" s="535">
        <f t="shared" si="61"/>
        <v>4492992.5</v>
      </c>
      <c r="M435" s="535">
        <v>4492992.5</v>
      </c>
      <c r="N435" s="535">
        <v>4492992.5</v>
      </c>
      <c r="O435" s="535">
        <v>4492992.5</v>
      </c>
      <c r="P435" s="597"/>
    </row>
    <row r="436" spans="1:16" ht="52.5" customHeight="1">
      <c r="A436" s="597">
        <v>7</v>
      </c>
      <c r="B436" s="597" t="s">
        <v>25</v>
      </c>
      <c r="C436" s="615" t="s">
        <v>1947</v>
      </c>
      <c r="D436" s="597" t="s">
        <v>838</v>
      </c>
      <c r="E436" s="597"/>
      <c r="F436" s="617" t="s">
        <v>1952</v>
      </c>
      <c r="G436" s="618">
        <v>44369</v>
      </c>
      <c r="H436" s="620">
        <v>119500</v>
      </c>
      <c r="I436" s="535"/>
      <c r="J436" s="620">
        <v>119500</v>
      </c>
      <c r="K436" s="535"/>
      <c r="L436" s="535">
        <f t="shared" si="61"/>
        <v>29875</v>
      </c>
      <c r="M436" s="535">
        <v>29875</v>
      </c>
      <c r="N436" s="535">
        <v>29875</v>
      </c>
      <c r="O436" s="535">
        <v>29875</v>
      </c>
      <c r="P436" s="597"/>
    </row>
    <row r="437" spans="1:16" ht="75.75" customHeight="1">
      <c r="A437" s="597">
        <v>8</v>
      </c>
      <c r="B437" s="597" t="s">
        <v>25</v>
      </c>
      <c r="C437" s="615" t="s">
        <v>1948</v>
      </c>
      <c r="D437" s="597" t="s">
        <v>838</v>
      </c>
      <c r="E437" s="597"/>
      <c r="F437" s="618">
        <v>44277</v>
      </c>
      <c r="G437" s="618">
        <v>44552</v>
      </c>
      <c r="H437" s="620">
        <v>90400</v>
      </c>
      <c r="I437" s="535"/>
      <c r="J437" s="620">
        <v>90400</v>
      </c>
      <c r="K437" s="535"/>
      <c r="L437" s="535">
        <f t="shared" si="61"/>
        <v>22600</v>
      </c>
      <c r="M437" s="535">
        <v>22600</v>
      </c>
      <c r="N437" s="535">
        <v>22600</v>
      </c>
      <c r="O437" s="535">
        <v>22600</v>
      </c>
      <c r="P437" s="597"/>
    </row>
    <row r="438" spans="1:16" ht="33">
      <c r="A438" s="742" t="s">
        <v>20</v>
      </c>
      <c r="B438" s="742"/>
      <c r="C438" s="742"/>
      <c r="D438" s="742"/>
      <c r="E438" s="742"/>
      <c r="F438" s="742"/>
      <c r="G438" s="742"/>
      <c r="H438" s="433">
        <f>SUM(H430:H437)</f>
        <v>45448987.740000002</v>
      </c>
      <c r="I438" s="433">
        <f t="shared" ref="I438:O438" si="62">SUM(I430:I437)</f>
        <v>0</v>
      </c>
      <c r="J438" s="433">
        <f t="shared" si="62"/>
        <v>31578238.18</v>
      </c>
      <c r="K438" s="433">
        <f t="shared" si="62"/>
        <v>0</v>
      </c>
      <c r="L438" s="433">
        <f t="shared" si="62"/>
        <v>7894559.5449999999</v>
      </c>
      <c r="M438" s="433">
        <f t="shared" si="62"/>
        <v>7894559.5449999999</v>
      </c>
      <c r="N438" s="433">
        <f t="shared" si="62"/>
        <v>7894559.5449999999</v>
      </c>
      <c r="O438" s="433">
        <f t="shared" si="62"/>
        <v>7894559.5449999999</v>
      </c>
      <c r="P438" s="138"/>
    </row>
    <row r="439" spans="1:16" s="91" customFormat="1" ht="32.25" customHeight="1">
      <c r="A439" s="680" t="s">
        <v>1868</v>
      </c>
      <c r="B439" s="680"/>
      <c r="C439" s="680"/>
      <c r="D439" s="680"/>
      <c r="E439" s="680"/>
      <c r="F439" s="750"/>
      <c r="G439" s="751"/>
      <c r="H439" s="751"/>
      <c r="I439" s="751"/>
      <c r="J439" s="751"/>
      <c r="K439" s="751"/>
      <c r="L439" s="751"/>
      <c r="M439" s="751"/>
      <c r="N439" s="751"/>
      <c r="O439" s="751"/>
      <c r="P439" s="752"/>
    </row>
    <row r="440" spans="1:16" s="91" customFormat="1" ht="110.25">
      <c r="A440" s="260">
        <v>1</v>
      </c>
      <c r="B440" s="461" t="s">
        <v>25</v>
      </c>
      <c r="C440" s="312" t="s">
        <v>1989</v>
      </c>
      <c r="D440" s="461" t="s">
        <v>851</v>
      </c>
      <c r="E440" s="627"/>
      <c r="F440" s="165">
        <v>2018</v>
      </c>
      <c r="G440" s="165">
        <v>2021</v>
      </c>
      <c r="H440" s="169">
        <f>+ROUND(3667803*1.18,2)</f>
        <v>4328007.54</v>
      </c>
      <c r="I440" s="169">
        <f>+ROUND(2352087.02*1.18,2)</f>
        <v>2775462.68</v>
      </c>
      <c r="J440" s="169">
        <f>+H440-I440</f>
        <v>1552544.8599999999</v>
      </c>
      <c r="K440" s="492"/>
      <c r="L440" s="175">
        <f>J440/4</f>
        <v>388136.21499999997</v>
      </c>
      <c r="M440" s="175">
        <v>388136.21499999997</v>
      </c>
      <c r="N440" s="175">
        <v>388136.21499999997</v>
      </c>
      <c r="O440" s="175">
        <v>388136.21499999997</v>
      </c>
      <c r="P440" s="605"/>
    </row>
    <row r="441" spans="1:16" s="91" customFormat="1" ht="33">
      <c r="A441" s="260">
        <v>2</v>
      </c>
      <c r="B441" s="461" t="s">
        <v>25</v>
      </c>
      <c r="C441" s="312" t="s">
        <v>1990</v>
      </c>
      <c r="D441" s="461" t="s">
        <v>851</v>
      </c>
      <c r="E441" s="627"/>
      <c r="F441" s="165">
        <v>2020</v>
      </c>
      <c r="G441" s="165">
        <v>2021</v>
      </c>
      <c r="H441" s="169">
        <f>4890000*1.18</f>
        <v>5770200</v>
      </c>
      <c r="I441" s="492"/>
      <c r="J441" s="169">
        <f>+H441</f>
        <v>5770200</v>
      </c>
      <c r="K441" s="492"/>
      <c r="L441" s="175">
        <f t="shared" ref="L441:L443" si="63">J441/4</f>
        <v>1442550</v>
      </c>
      <c r="M441" s="175">
        <v>1442550</v>
      </c>
      <c r="N441" s="175">
        <v>1442550</v>
      </c>
      <c r="O441" s="175">
        <v>1442550</v>
      </c>
      <c r="P441" s="605"/>
    </row>
    <row r="442" spans="1:16" s="91" customFormat="1" ht="33">
      <c r="A442" s="260">
        <v>3</v>
      </c>
      <c r="B442" s="461" t="s">
        <v>25</v>
      </c>
      <c r="C442" s="140" t="s">
        <v>1991</v>
      </c>
      <c r="D442" s="461" t="s">
        <v>851</v>
      </c>
      <c r="E442" s="627"/>
      <c r="F442" s="171">
        <v>2020</v>
      </c>
      <c r="G442" s="171">
        <v>2021</v>
      </c>
      <c r="H442" s="176">
        <f>1.18*4339000</f>
        <v>5120020</v>
      </c>
      <c r="I442" s="492"/>
      <c r="J442" s="176">
        <f>H442*0.6</f>
        <v>3072012</v>
      </c>
      <c r="K442" s="492"/>
      <c r="L442" s="175">
        <f t="shared" si="63"/>
        <v>768003</v>
      </c>
      <c r="M442" s="175">
        <v>768003</v>
      </c>
      <c r="N442" s="175">
        <v>768003</v>
      </c>
      <c r="O442" s="175">
        <v>768003</v>
      </c>
      <c r="P442" s="605"/>
    </row>
    <row r="443" spans="1:16" s="91" customFormat="1" ht="33">
      <c r="A443" s="260">
        <v>4</v>
      </c>
      <c r="B443" s="461" t="s">
        <v>40</v>
      </c>
      <c r="C443" s="140" t="s">
        <v>1992</v>
      </c>
      <c r="D443" s="461" t="s">
        <v>851</v>
      </c>
      <c r="E443" s="627"/>
      <c r="F443" s="171">
        <v>2020</v>
      </c>
      <c r="G443" s="171">
        <v>2021</v>
      </c>
      <c r="H443" s="176">
        <f>1.18*2787825.65</f>
        <v>3289634.2669999995</v>
      </c>
      <c r="I443" s="492"/>
      <c r="J443" s="176">
        <f>1.18*2787825.65</f>
        <v>3289634.2669999995</v>
      </c>
      <c r="K443" s="492"/>
      <c r="L443" s="175">
        <f t="shared" si="63"/>
        <v>822408.56674999988</v>
      </c>
      <c r="M443" s="175">
        <v>822408.56674999988</v>
      </c>
      <c r="N443" s="175">
        <v>822408.56674999988</v>
      </c>
      <c r="O443" s="175">
        <v>822408.56674999988</v>
      </c>
      <c r="P443" s="605"/>
    </row>
    <row r="444" spans="1:16" s="91" customFormat="1" ht="52.5" customHeight="1">
      <c r="A444" s="742" t="s">
        <v>20</v>
      </c>
      <c r="B444" s="742"/>
      <c r="C444" s="742"/>
      <c r="D444" s="742"/>
      <c r="E444" s="742"/>
      <c r="F444" s="742"/>
      <c r="G444" s="742"/>
      <c r="H444" s="433">
        <f t="shared" ref="H444:O444" si="64">SUM(H440:H443)</f>
        <v>18507861.807</v>
      </c>
      <c r="I444" s="433">
        <f t="shared" si="64"/>
        <v>2775462.68</v>
      </c>
      <c r="J444" s="433">
        <f t="shared" si="64"/>
        <v>13684391.126999998</v>
      </c>
      <c r="K444" s="433">
        <f t="shared" si="64"/>
        <v>0</v>
      </c>
      <c r="L444" s="433">
        <f t="shared" si="64"/>
        <v>3421097.7817499996</v>
      </c>
      <c r="M444" s="433">
        <f t="shared" si="64"/>
        <v>3421097.7817499996</v>
      </c>
      <c r="N444" s="433">
        <f t="shared" si="64"/>
        <v>3421097.7817499996</v>
      </c>
      <c r="O444" s="433">
        <f t="shared" si="64"/>
        <v>3421097.7817499996</v>
      </c>
      <c r="P444" s="138"/>
    </row>
    <row r="445" spans="1:16" s="91" customFormat="1" ht="17.25" customHeight="1">
      <c r="A445" s="771"/>
      <c r="B445" s="772"/>
      <c r="C445" s="772"/>
      <c r="D445" s="772"/>
      <c r="E445" s="772"/>
      <c r="F445" s="772"/>
      <c r="G445" s="772"/>
      <c r="H445" s="772"/>
      <c r="I445" s="772"/>
      <c r="J445" s="772"/>
      <c r="K445" s="772"/>
      <c r="L445" s="772"/>
      <c r="M445" s="772"/>
      <c r="N445" s="772"/>
      <c r="O445" s="772"/>
      <c r="P445" s="773"/>
    </row>
    <row r="446" spans="1:16" s="91" customFormat="1" ht="17.25" customHeight="1">
      <c r="A446" s="680" t="s">
        <v>1867</v>
      </c>
      <c r="B446" s="680"/>
      <c r="C446" s="680"/>
      <c r="D446" s="680"/>
      <c r="E446" s="680"/>
      <c r="F446" s="750"/>
      <c r="G446" s="751"/>
      <c r="H446" s="751"/>
      <c r="I446" s="751"/>
      <c r="J446" s="751"/>
      <c r="K446" s="751"/>
      <c r="L446" s="751"/>
      <c r="M446" s="751"/>
      <c r="N446" s="751"/>
      <c r="O446" s="751"/>
      <c r="P446" s="752"/>
    </row>
    <row r="447" spans="1:16" s="91" customFormat="1" ht="52.5" customHeight="1">
      <c r="A447" s="630">
        <v>1</v>
      </c>
      <c r="B447" s="461" t="s">
        <v>25</v>
      </c>
      <c r="C447" s="201" t="s">
        <v>1993</v>
      </c>
      <c r="D447" s="461" t="s">
        <v>966</v>
      </c>
      <c r="E447" s="628"/>
      <c r="F447" s="152">
        <v>2021</v>
      </c>
      <c r="G447" s="152">
        <v>2021</v>
      </c>
      <c r="H447" s="176">
        <v>347900</v>
      </c>
      <c r="I447" s="176"/>
      <c r="J447" s="176">
        <f>H447</f>
        <v>347900</v>
      </c>
      <c r="K447" s="176"/>
      <c r="L447" s="176">
        <f>J447/4</f>
        <v>86975</v>
      </c>
      <c r="M447" s="176">
        <v>86975</v>
      </c>
      <c r="N447" s="176">
        <v>86975</v>
      </c>
      <c r="O447" s="176">
        <v>86975</v>
      </c>
      <c r="P447" s="629"/>
    </row>
    <row r="448" spans="1:16" s="91" customFormat="1" ht="52.5" customHeight="1">
      <c r="A448" s="630">
        <v>2</v>
      </c>
      <c r="B448" s="461" t="s">
        <v>25</v>
      </c>
      <c r="C448" s="161" t="s">
        <v>1994</v>
      </c>
      <c r="D448" s="461" t="s">
        <v>966</v>
      </c>
      <c r="E448" s="628"/>
      <c r="F448" s="171">
        <v>2021</v>
      </c>
      <c r="G448" s="171">
        <v>2021</v>
      </c>
      <c r="H448" s="176">
        <v>339600</v>
      </c>
      <c r="I448" s="176"/>
      <c r="J448" s="176">
        <f>H448</f>
        <v>339600</v>
      </c>
      <c r="K448" s="176"/>
      <c r="L448" s="176">
        <f>J448/4</f>
        <v>84900</v>
      </c>
      <c r="M448" s="176">
        <v>84900</v>
      </c>
      <c r="N448" s="176">
        <v>84900</v>
      </c>
      <c r="O448" s="176">
        <v>84900</v>
      </c>
      <c r="P448" s="629"/>
    </row>
    <row r="449" spans="1:16" s="91" customFormat="1" ht="37.5" customHeight="1">
      <c r="A449" s="742" t="s">
        <v>20</v>
      </c>
      <c r="B449" s="742"/>
      <c r="C449" s="742"/>
      <c r="D449" s="742"/>
      <c r="E449" s="742"/>
      <c r="F449" s="742"/>
      <c r="G449" s="742"/>
      <c r="H449" s="433">
        <f t="shared" ref="H449:O449" si="65">SUM(H447:H448)</f>
        <v>687500</v>
      </c>
      <c r="I449" s="433">
        <f t="shared" si="65"/>
        <v>0</v>
      </c>
      <c r="J449" s="433">
        <f t="shared" si="65"/>
        <v>687500</v>
      </c>
      <c r="K449" s="433">
        <f t="shared" si="65"/>
        <v>0</v>
      </c>
      <c r="L449" s="433">
        <f t="shared" si="65"/>
        <v>171875</v>
      </c>
      <c r="M449" s="433">
        <f t="shared" si="65"/>
        <v>171875</v>
      </c>
      <c r="N449" s="433">
        <f t="shared" si="65"/>
        <v>171875</v>
      </c>
      <c r="O449" s="433">
        <f t="shared" si="65"/>
        <v>171875</v>
      </c>
      <c r="P449" s="138"/>
    </row>
    <row r="450" spans="1:16" s="91" customFormat="1" ht="17.25" customHeight="1">
      <c r="A450" s="771"/>
      <c r="B450" s="772"/>
      <c r="C450" s="772"/>
      <c r="D450" s="772"/>
      <c r="E450" s="772"/>
      <c r="F450" s="772"/>
      <c r="G450" s="772"/>
      <c r="H450" s="772"/>
      <c r="I450" s="772"/>
      <c r="J450" s="772"/>
      <c r="K450" s="772"/>
      <c r="L450" s="772"/>
      <c r="M450" s="772"/>
      <c r="N450" s="772"/>
      <c r="O450" s="772"/>
      <c r="P450" s="773"/>
    </row>
    <row r="451" spans="1:16" s="91" customFormat="1" ht="17.25" customHeight="1">
      <c r="A451" s="680" t="s">
        <v>1870</v>
      </c>
      <c r="B451" s="680"/>
      <c r="C451" s="680"/>
      <c r="D451" s="680"/>
      <c r="E451" s="680"/>
      <c r="F451" s="750"/>
      <c r="G451" s="751"/>
      <c r="H451" s="751"/>
      <c r="I451" s="751"/>
      <c r="J451" s="751"/>
      <c r="K451" s="751"/>
      <c r="L451" s="751"/>
      <c r="M451" s="751"/>
      <c r="N451" s="751"/>
      <c r="O451" s="751"/>
      <c r="P451" s="752"/>
    </row>
    <row r="452" spans="1:16" s="91" customFormat="1" ht="17.25" customHeight="1">
      <c r="A452" s="630">
        <v>1</v>
      </c>
      <c r="B452" s="631" t="s">
        <v>25</v>
      </c>
      <c r="C452" s="631" t="s">
        <v>1995</v>
      </c>
      <c r="D452" s="631" t="s">
        <v>1210</v>
      </c>
      <c r="E452" s="631"/>
      <c r="F452" s="631">
        <v>2020</v>
      </c>
      <c r="G452" s="631">
        <v>2021</v>
      </c>
      <c r="H452" s="632">
        <v>1850000</v>
      </c>
      <c r="I452" s="632">
        <v>1288891</v>
      </c>
      <c r="J452" s="632">
        <f>H452-I452</f>
        <v>561109</v>
      </c>
      <c r="K452" s="632"/>
      <c r="L452" s="632">
        <f>J452/4</f>
        <v>140277.25</v>
      </c>
      <c r="M452" s="632">
        <v>140277.25</v>
      </c>
      <c r="N452" s="632">
        <v>140277.25</v>
      </c>
      <c r="O452" s="632">
        <v>140277.25</v>
      </c>
      <c r="P452" s="629"/>
    </row>
    <row r="453" spans="1:16" s="91" customFormat="1" ht="17.25" customHeight="1">
      <c r="A453" s="630">
        <v>2</v>
      </c>
      <c r="B453" s="631" t="s">
        <v>25</v>
      </c>
      <c r="C453" s="631" t="s">
        <v>1996</v>
      </c>
      <c r="D453" s="631" t="s">
        <v>1210</v>
      </c>
      <c r="E453" s="631"/>
      <c r="F453" s="631">
        <v>2020</v>
      </c>
      <c r="G453" s="631">
        <v>2021</v>
      </c>
      <c r="H453" s="632">
        <v>98777000</v>
      </c>
      <c r="I453" s="632">
        <v>6384084</v>
      </c>
      <c r="J453" s="632">
        <v>39310000</v>
      </c>
      <c r="K453" s="632"/>
      <c r="L453" s="632">
        <f t="shared" ref="L453:L454" si="66">J453/4</f>
        <v>9827500</v>
      </c>
      <c r="M453" s="632">
        <v>9827500</v>
      </c>
      <c r="N453" s="632">
        <v>9827500</v>
      </c>
      <c r="O453" s="632">
        <v>9827500</v>
      </c>
      <c r="P453" s="629"/>
    </row>
    <row r="454" spans="1:16" s="91" customFormat="1" ht="17.25" customHeight="1">
      <c r="A454" s="630">
        <v>3</v>
      </c>
      <c r="B454" s="631" t="s">
        <v>25</v>
      </c>
      <c r="C454" s="631" t="s">
        <v>1997</v>
      </c>
      <c r="D454" s="631" t="s">
        <v>1210</v>
      </c>
      <c r="E454" s="631"/>
      <c r="F454" s="631">
        <v>2020</v>
      </c>
      <c r="G454" s="631">
        <v>2021</v>
      </c>
      <c r="H454" s="632">
        <v>3102220</v>
      </c>
      <c r="I454" s="632">
        <v>3086948</v>
      </c>
      <c r="J454" s="632">
        <f>H454-I454</f>
        <v>15272</v>
      </c>
      <c r="K454" s="632"/>
      <c r="L454" s="632">
        <f t="shared" si="66"/>
        <v>3818</v>
      </c>
      <c r="M454" s="632">
        <v>3818</v>
      </c>
      <c r="N454" s="632">
        <v>3818</v>
      </c>
      <c r="O454" s="632">
        <v>3818</v>
      </c>
      <c r="P454" s="629"/>
    </row>
    <row r="455" spans="1:16" s="91" customFormat="1" ht="31.5" customHeight="1">
      <c r="A455" s="742" t="s">
        <v>20</v>
      </c>
      <c r="B455" s="742"/>
      <c r="C455" s="742"/>
      <c r="D455" s="742"/>
      <c r="E455" s="742"/>
      <c r="F455" s="742"/>
      <c r="G455" s="742"/>
      <c r="H455" s="433">
        <f>SUM(H452:H454)</f>
        <v>103729220</v>
      </c>
      <c r="I455" s="433">
        <f t="shared" ref="I455:O455" si="67">SUM(I452:I454)</f>
        <v>10759923</v>
      </c>
      <c r="J455" s="433">
        <f t="shared" si="67"/>
        <v>39886381</v>
      </c>
      <c r="K455" s="433">
        <f t="shared" si="67"/>
        <v>0</v>
      </c>
      <c r="L455" s="433">
        <f t="shared" si="67"/>
        <v>9971595.25</v>
      </c>
      <c r="M455" s="433">
        <f t="shared" si="67"/>
        <v>9971595.25</v>
      </c>
      <c r="N455" s="433">
        <f t="shared" si="67"/>
        <v>9971595.25</v>
      </c>
      <c r="O455" s="433">
        <f t="shared" si="67"/>
        <v>9971595.25</v>
      </c>
      <c r="P455" s="138"/>
    </row>
    <row r="456" spans="1:16" s="91" customFormat="1" ht="17.25" customHeight="1">
      <c r="A456" s="774"/>
      <c r="B456" s="775"/>
      <c r="C456" s="775"/>
      <c r="D456" s="775"/>
      <c r="E456" s="775"/>
      <c r="F456" s="775"/>
      <c r="G456" s="775"/>
      <c r="H456" s="775"/>
      <c r="I456" s="775"/>
      <c r="J456" s="775"/>
      <c r="K456" s="775"/>
      <c r="L456" s="775"/>
      <c r="M456" s="775"/>
      <c r="N456" s="775"/>
      <c r="O456" s="775"/>
      <c r="P456" s="776"/>
    </row>
    <row r="457" spans="1:16" ht="16.5" thickBot="1">
      <c r="A457" s="680" t="s">
        <v>1871</v>
      </c>
      <c r="B457" s="680"/>
      <c r="C457" s="680"/>
      <c r="D457" s="680"/>
      <c r="E457" s="680"/>
      <c r="F457" s="135"/>
      <c r="G457" s="135"/>
      <c r="H457" s="136"/>
      <c r="I457" s="136"/>
      <c r="J457" s="136"/>
      <c r="K457" s="136"/>
      <c r="L457" s="136"/>
      <c r="M457" s="136"/>
      <c r="N457" s="136"/>
      <c r="O457" s="136"/>
      <c r="P457" s="137"/>
    </row>
    <row r="458" spans="1:16">
      <c r="A458" s="442">
        <v>1</v>
      </c>
      <c r="B458" s="442" t="s">
        <v>25</v>
      </c>
      <c r="C458" s="27" t="s">
        <v>1896</v>
      </c>
      <c r="D458" s="442" t="s">
        <v>46</v>
      </c>
      <c r="E458" s="442"/>
      <c r="F458" s="533">
        <v>2021</v>
      </c>
      <c r="G458" s="532">
        <v>2022</v>
      </c>
      <c r="H458" s="523">
        <v>4332000</v>
      </c>
      <c r="I458" s="535"/>
      <c r="J458" s="535"/>
      <c r="K458" s="535"/>
      <c r="L458" s="535"/>
      <c r="M458" s="535"/>
      <c r="N458" s="535"/>
      <c r="O458" s="442"/>
      <c r="P458" s="442"/>
    </row>
    <row r="459" spans="1:16">
      <c r="A459" s="442">
        <v>2</v>
      </c>
      <c r="B459" s="442" t="s">
        <v>25</v>
      </c>
      <c r="C459" s="522" t="s">
        <v>1897</v>
      </c>
      <c r="D459" s="442" t="s">
        <v>46</v>
      </c>
      <c r="E459" s="442"/>
      <c r="F459" s="534">
        <v>2021</v>
      </c>
      <c r="G459" s="532">
        <v>2021</v>
      </c>
      <c r="H459" s="523">
        <v>150000</v>
      </c>
      <c r="I459" s="535"/>
      <c r="J459" s="535"/>
      <c r="K459" s="535"/>
      <c r="L459" s="535"/>
      <c r="M459" s="535"/>
      <c r="N459" s="535"/>
      <c r="O459" s="442"/>
      <c r="P459" s="442"/>
    </row>
    <row r="460" spans="1:16">
      <c r="A460" s="442">
        <v>3</v>
      </c>
      <c r="B460" s="442" t="s">
        <v>25</v>
      </c>
      <c r="C460" s="531" t="s">
        <v>1898</v>
      </c>
      <c r="D460" s="442" t="s">
        <v>46</v>
      </c>
      <c r="E460" s="442"/>
      <c r="F460" s="534">
        <v>2021</v>
      </c>
      <c r="G460" s="532">
        <v>2022</v>
      </c>
      <c r="H460" s="536">
        <v>24650000</v>
      </c>
      <c r="I460" s="535"/>
      <c r="J460" s="535"/>
      <c r="K460" s="535"/>
      <c r="L460" s="535"/>
      <c r="M460" s="535"/>
      <c r="N460" s="535"/>
      <c r="O460" s="442"/>
      <c r="P460" s="442"/>
    </row>
    <row r="461" spans="1:16">
      <c r="A461" s="442">
        <v>4</v>
      </c>
      <c r="B461" s="442" t="s">
        <v>36</v>
      </c>
      <c r="C461" s="531" t="s">
        <v>1899</v>
      </c>
      <c r="D461" s="442" t="s">
        <v>46</v>
      </c>
      <c r="E461" s="442"/>
      <c r="F461" s="534">
        <v>2021</v>
      </c>
      <c r="G461" s="532">
        <v>2022</v>
      </c>
      <c r="H461" s="536">
        <v>11000000</v>
      </c>
      <c r="I461" s="535"/>
      <c r="J461" s="535"/>
      <c r="K461" s="535"/>
      <c r="L461" s="535"/>
      <c r="M461" s="535"/>
      <c r="N461" s="535"/>
      <c r="O461" s="442"/>
      <c r="P461" s="442"/>
    </row>
    <row r="462" spans="1:16">
      <c r="A462" s="442">
        <v>5</v>
      </c>
      <c r="B462" s="442" t="s">
        <v>25</v>
      </c>
      <c r="C462" s="531" t="s">
        <v>1900</v>
      </c>
      <c r="D462" s="442" t="s">
        <v>46</v>
      </c>
      <c r="E462" s="442"/>
      <c r="F462" s="534">
        <v>2021</v>
      </c>
      <c r="G462" s="532">
        <v>2021</v>
      </c>
      <c r="H462" s="536">
        <v>3000000</v>
      </c>
      <c r="I462" s="535"/>
      <c r="J462" s="535"/>
      <c r="K462" s="535"/>
      <c r="L462" s="535"/>
      <c r="M462" s="535"/>
      <c r="N462" s="535"/>
      <c r="O462" s="442"/>
      <c r="P462" s="442"/>
    </row>
    <row r="463" spans="1:16">
      <c r="A463" s="442">
        <v>6</v>
      </c>
      <c r="B463" s="442" t="s">
        <v>25</v>
      </c>
      <c r="C463" s="531" t="s">
        <v>1901</v>
      </c>
      <c r="D463" s="442" t="s">
        <v>46</v>
      </c>
      <c r="E463" s="442"/>
      <c r="F463" s="534">
        <v>2021</v>
      </c>
      <c r="G463" s="532">
        <v>2022</v>
      </c>
      <c r="H463" s="536">
        <v>6000000</v>
      </c>
      <c r="I463" s="535"/>
      <c r="J463" s="535"/>
      <c r="K463" s="535"/>
      <c r="L463" s="535"/>
      <c r="M463" s="535"/>
      <c r="N463" s="535"/>
      <c r="O463" s="442"/>
      <c r="P463" s="442"/>
    </row>
    <row r="464" spans="1:16">
      <c r="A464" s="442">
        <v>7</v>
      </c>
      <c r="B464" s="442" t="s">
        <v>25</v>
      </c>
      <c r="C464" s="531" t="s">
        <v>1902</v>
      </c>
      <c r="D464" s="442" t="s">
        <v>46</v>
      </c>
      <c r="E464" s="442"/>
      <c r="F464" s="534">
        <v>2021</v>
      </c>
      <c r="G464" s="532">
        <v>2021</v>
      </c>
      <c r="H464" s="536">
        <v>300000</v>
      </c>
      <c r="I464" s="535"/>
      <c r="J464" s="535"/>
      <c r="K464" s="535"/>
      <c r="L464" s="535"/>
      <c r="M464" s="535"/>
      <c r="N464" s="535"/>
      <c r="O464" s="442"/>
      <c r="P464" s="442"/>
    </row>
    <row r="465" spans="1:16">
      <c r="A465" s="442">
        <v>8</v>
      </c>
      <c r="B465" s="442" t="s">
        <v>25</v>
      </c>
      <c r="C465" s="25" t="s">
        <v>1903</v>
      </c>
      <c r="D465" s="442" t="s">
        <v>46</v>
      </c>
      <c r="E465" s="442"/>
      <c r="F465" s="534">
        <v>2021</v>
      </c>
      <c r="G465" s="532">
        <v>2021</v>
      </c>
      <c r="H465" s="524">
        <v>600000</v>
      </c>
      <c r="I465" s="535"/>
      <c r="J465" s="535"/>
      <c r="K465" s="535"/>
      <c r="L465" s="535"/>
      <c r="M465" s="535"/>
      <c r="N465" s="535"/>
      <c r="O465" s="442"/>
      <c r="P465" s="442"/>
    </row>
    <row r="466" spans="1:16">
      <c r="A466" s="442">
        <v>9</v>
      </c>
      <c r="B466" s="442" t="s">
        <v>25</v>
      </c>
      <c r="C466" s="25" t="s">
        <v>1904</v>
      </c>
      <c r="D466" s="442" t="s">
        <v>46</v>
      </c>
      <c r="E466" s="442"/>
      <c r="F466" s="534">
        <v>2021</v>
      </c>
      <c r="G466" s="532">
        <v>2021</v>
      </c>
      <c r="H466" s="524">
        <v>4000000</v>
      </c>
      <c r="I466" s="535"/>
      <c r="J466" s="535"/>
      <c r="K466" s="535"/>
      <c r="L466" s="535"/>
      <c r="M466" s="535"/>
      <c r="N466" s="535"/>
      <c r="O466" s="442"/>
      <c r="P466" s="442"/>
    </row>
    <row r="467" spans="1:16" ht="33">
      <c r="A467" s="742" t="s">
        <v>20</v>
      </c>
      <c r="B467" s="742"/>
      <c r="C467" s="742"/>
      <c r="D467" s="742"/>
      <c r="E467" s="742"/>
      <c r="F467" s="742"/>
      <c r="G467" s="742"/>
      <c r="H467" s="433">
        <f>SUM(H462:H466)</f>
        <v>13900000</v>
      </c>
      <c r="I467" s="433">
        <f t="shared" ref="I467:O467" si="68">SUM(I462:I466)</f>
        <v>0</v>
      </c>
      <c r="J467" s="433">
        <f t="shared" si="68"/>
        <v>0</v>
      </c>
      <c r="K467" s="433">
        <f t="shared" si="68"/>
        <v>0</v>
      </c>
      <c r="L467" s="433">
        <f t="shared" si="68"/>
        <v>0</v>
      </c>
      <c r="M467" s="433">
        <f t="shared" si="68"/>
        <v>0</v>
      </c>
      <c r="N467" s="433">
        <f t="shared" si="68"/>
        <v>0</v>
      </c>
      <c r="O467" s="433">
        <f t="shared" si="68"/>
        <v>0</v>
      </c>
      <c r="P467" s="138"/>
    </row>
    <row r="468" spans="1:16">
      <c r="A468" s="768"/>
      <c r="B468" s="769"/>
      <c r="C468" s="769"/>
      <c r="D468" s="769"/>
      <c r="E468" s="769"/>
      <c r="F468" s="769"/>
      <c r="G468" s="769"/>
      <c r="H468" s="769"/>
      <c r="I468" s="769"/>
      <c r="J468" s="769"/>
      <c r="K468" s="769"/>
      <c r="L468" s="769"/>
      <c r="M468" s="769"/>
      <c r="N468" s="769"/>
      <c r="O468" s="769"/>
      <c r="P468" s="770"/>
    </row>
    <row r="469" spans="1:16" s="109" customFormat="1" ht="57.75" customHeight="1">
      <c r="A469" s="767" t="s">
        <v>168</v>
      </c>
      <c r="B469" s="767"/>
      <c r="C469" s="767"/>
      <c r="D469" s="767"/>
      <c r="E469" s="767"/>
      <c r="F469" s="767"/>
      <c r="G469" s="767"/>
      <c r="H469" s="598">
        <f>H335+H328+H321+H310+H304+H295+H287+H276+H254+H247+H210+H205+H63+H201+H25+H184+H162+H157+H153+H143+H127+H115+H107+H95+H85+H70+H56+H47+H32+H467+H342+H455+H449+H444+H438+H427+H413+H385+H347</f>
        <v>134161027188.58351</v>
      </c>
      <c r="I469" s="598">
        <f t="shared" ref="I469:O469" si="69">I335+I328+I321+I310+I304+I295+I287+I276+I254+I247+I210+I205+I63+I201+I25+I184+I162+I157+I153+I143+I127+I115+I107+I95+I85+I70+I56+I47+I32+I467+I342+I455+I449+I444+I438+I427+I413+I385+I347</f>
        <v>30465993566.647495</v>
      </c>
      <c r="J469" s="598">
        <f t="shared" si="69"/>
        <v>25737606324.726639</v>
      </c>
      <c r="K469" s="598">
        <f t="shared" si="69"/>
        <v>19695855920.084</v>
      </c>
      <c r="L469" s="598">
        <f t="shared" si="69"/>
        <v>6061710008.2235775</v>
      </c>
      <c r="M469" s="598">
        <f t="shared" si="69"/>
        <v>6422417045.3241739</v>
      </c>
      <c r="N469" s="598">
        <f t="shared" si="69"/>
        <v>6367225807.0196829</v>
      </c>
      <c r="O469" s="598">
        <f t="shared" si="69"/>
        <v>6729010781.2481565</v>
      </c>
      <c r="P469" s="424"/>
    </row>
    <row r="474" spans="1:16" ht="24.75" customHeight="1">
      <c r="C474" s="599"/>
      <c r="D474" s="600"/>
      <c r="E474" s="599"/>
      <c r="F474" s="600"/>
      <c r="G474" s="600"/>
      <c r="H474" s="601"/>
      <c r="I474" s="601"/>
      <c r="J474" s="601"/>
      <c r="K474" s="601"/>
      <c r="L474" s="601"/>
      <c r="M474" s="601"/>
      <c r="N474" s="601"/>
      <c r="O474" s="601"/>
    </row>
    <row r="475" spans="1:16" ht="26.25">
      <c r="C475" s="599"/>
      <c r="D475" s="602"/>
      <c r="E475" s="599"/>
      <c r="F475" s="602"/>
      <c r="G475" s="600"/>
      <c r="H475" s="601"/>
      <c r="I475" s="601"/>
      <c r="J475" s="601"/>
      <c r="K475" s="601"/>
      <c r="L475" s="601"/>
      <c r="M475" s="601"/>
      <c r="N475" s="601"/>
      <c r="O475" s="601"/>
    </row>
    <row r="476" spans="1:16" ht="28.5">
      <c r="C476" s="777" t="s">
        <v>1842</v>
      </c>
      <c r="D476" s="777"/>
      <c r="E476" s="778"/>
      <c r="F476" s="779"/>
      <c r="G476" s="780" t="s">
        <v>1844</v>
      </c>
      <c r="H476" s="780"/>
      <c r="I476" s="780"/>
      <c r="J476" s="781"/>
      <c r="K476" s="781"/>
      <c r="L476" s="781"/>
      <c r="M476" s="777" t="s">
        <v>1846</v>
      </c>
      <c r="N476" s="777"/>
      <c r="O476" s="601"/>
    </row>
    <row r="477" spans="1:16" ht="28.5">
      <c r="C477" s="777" t="s">
        <v>1843</v>
      </c>
      <c r="D477" s="777"/>
      <c r="E477" s="782"/>
      <c r="F477" s="782"/>
      <c r="G477" s="777" t="s">
        <v>1847</v>
      </c>
      <c r="H477" s="777"/>
      <c r="I477" s="777"/>
      <c r="J477" s="781"/>
      <c r="K477" s="781"/>
      <c r="L477" s="781"/>
      <c r="M477" s="777" t="s">
        <v>1845</v>
      </c>
      <c r="N477" s="777"/>
      <c r="O477" s="601"/>
    </row>
    <row r="478" spans="1:16" ht="28.5">
      <c r="C478" s="778"/>
      <c r="D478" s="783"/>
      <c r="E478" s="778"/>
      <c r="F478" s="783"/>
      <c r="G478" s="783"/>
      <c r="H478" s="781"/>
      <c r="I478" s="781"/>
      <c r="J478" s="781"/>
      <c r="K478" s="781"/>
      <c r="L478" s="781"/>
      <c r="M478" s="781"/>
      <c r="N478" s="781"/>
      <c r="O478" s="601"/>
    </row>
    <row r="479" spans="1:16" ht="21">
      <c r="C479" s="735"/>
      <c r="D479" s="735"/>
      <c r="E479" s="467"/>
      <c r="F479" s="468"/>
      <c r="G479" s="469"/>
      <c r="H479" s="734"/>
      <c r="I479" s="734"/>
      <c r="J479" s="734"/>
      <c r="K479" s="470"/>
      <c r="L479" s="470"/>
      <c r="M479" s="735"/>
      <c r="N479" s="735"/>
    </row>
    <row r="480" spans="1:16" ht="21">
      <c r="C480" s="735"/>
      <c r="D480" s="735"/>
      <c r="E480" s="467"/>
      <c r="F480" s="471"/>
      <c r="G480" s="469"/>
      <c r="H480" s="735"/>
      <c r="I480" s="735"/>
      <c r="J480" s="735"/>
      <c r="K480" s="470"/>
      <c r="L480" s="470"/>
      <c r="M480" s="735"/>
      <c r="N480" s="735"/>
    </row>
    <row r="481" spans="3:14" ht="21">
      <c r="C481" s="467"/>
      <c r="D481" s="469"/>
      <c r="E481" s="467"/>
      <c r="F481" s="469"/>
      <c r="G481" s="469"/>
      <c r="H481" s="470"/>
      <c r="I481" s="470"/>
      <c r="J481" s="470"/>
      <c r="K481" s="470"/>
      <c r="L481" s="470"/>
      <c r="M481" s="470"/>
      <c r="N481" s="470"/>
    </row>
  </sheetData>
  <mergeCells count="148">
    <mergeCell ref="A312:E312"/>
    <mergeCell ref="C476:D476"/>
    <mergeCell ref="C477:D477"/>
    <mergeCell ref="G476:I476"/>
    <mergeCell ref="G477:I477"/>
    <mergeCell ref="M476:N476"/>
    <mergeCell ref="M477:N477"/>
    <mergeCell ref="A337:E337"/>
    <mergeCell ref="A342:G342"/>
    <mergeCell ref="A343:P343"/>
    <mergeCell ref="F439:P439"/>
    <mergeCell ref="A455:G455"/>
    <mergeCell ref="A456:P456"/>
    <mergeCell ref="A415:E415"/>
    <mergeCell ref="F415:P415"/>
    <mergeCell ref="A427:G427"/>
    <mergeCell ref="A414:P414"/>
    <mergeCell ref="A428:P428"/>
    <mergeCell ref="A330:P330"/>
    <mergeCell ref="A336:P336"/>
    <mergeCell ref="A322:P322"/>
    <mergeCell ref="A323:E323"/>
    <mergeCell ref="C479:D479"/>
    <mergeCell ref="C480:D480"/>
    <mergeCell ref="H479:J479"/>
    <mergeCell ref="H480:J480"/>
    <mergeCell ref="M479:N479"/>
    <mergeCell ref="M480:N480"/>
    <mergeCell ref="A321:G321"/>
    <mergeCell ref="A328:G328"/>
    <mergeCell ref="A335:G335"/>
    <mergeCell ref="A469:G469"/>
    <mergeCell ref="A457:E457"/>
    <mergeCell ref="A467:G467"/>
    <mergeCell ref="A468:P468"/>
    <mergeCell ref="A438:G438"/>
    <mergeCell ref="A445:P445"/>
    <mergeCell ref="A444:G444"/>
    <mergeCell ref="A439:E439"/>
    <mergeCell ref="A446:E446"/>
    <mergeCell ref="A449:G449"/>
    <mergeCell ref="A450:P450"/>
    <mergeCell ref="A451:E451"/>
    <mergeCell ref="F451:P451"/>
    <mergeCell ref="F446:P446"/>
    <mergeCell ref="A329:P329"/>
    <mergeCell ref="A202:P202"/>
    <mergeCell ref="A58:P58"/>
    <mergeCell ref="A247:G247"/>
    <mergeCell ref="A206:P206"/>
    <mergeCell ref="A207:P207"/>
    <mergeCell ref="A210:G210"/>
    <mergeCell ref="A211:P211"/>
    <mergeCell ref="A203:P203"/>
    <mergeCell ref="A205:G205"/>
    <mergeCell ref="A186:P186"/>
    <mergeCell ref="A201:G201"/>
    <mergeCell ref="A71:P71"/>
    <mergeCell ref="A184:G184"/>
    <mergeCell ref="A185:P185"/>
    <mergeCell ref="A154:P154"/>
    <mergeCell ref="A155:P155"/>
    <mergeCell ref="A143:G143"/>
    <mergeCell ref="A163:P163"/>
    <mergeCell ref="A164:P164"/>
    <mergeCell ref="A157:G157"/>
    <mergeCell ref="A158:P158"/>
    <mergeCell ref="A159:P159"/>
    <mergeCell ref="A162:G162"/>
    <mergeCell ref="A145:P145"/>
    <mergeCell ref="A153:G153"/>
    <mergeCell ref="A87:P87"/>
    <mergeCell ref="A95:G95"/>
    <mergeCell ref="A72:P72"/>
    <mergeCell ref="A85:G85"/>
    <mergeCell ref="A86:P86"/>
    <mergeCell ref="A70:G70"/>
    <mergeCell ref="P3:P4"/>
    <mergeCell ref="A65:P65"/>
    <mergeCell ref="A6:P6"/>
    <mergeCell ref="A25:G25"/>
    <mergeCell ref="A5:P5"/>
    <mergeCell ref="A63:G63"/>
    <mergeCell ref="A47:G47"/>
    <mergeCell ref="A56:G56"/>
    <mergeCell ref="A48:P48"/>
    <mergeCell ref="A49:P49"/>
    <mergeCell ref="A34:P34"/>
    <mergeCell ref="A33:P33"/>
    <mergeCell ref="A32:G32"/>
    <mergeCell ref="A128:P128"/>
    <mergeCell ref="A129:P129"/>
    <mergeCell ref="A144:P144"/>
    <mergeCell ref="A127:G127"/>
    <mergeCell ref="A1:P2"/>
    <mergeCell ref="A3:A4"/>
    <mergeCell ref="B3:B4"/>
    <mergeCell ref="C3:C4"/>
    <mergeCell ref="D3:D4"/>
    <mergeCell ref="E3:E4"/>
    <mergeCell ref="F3:G3"/>
    <mergeCell ref="H3:H4"/>
    <mergeCell ref="I3:I4"/>
    <mergeCell ref="J3:K3"/>
    <mergeCell ref="L3:O3"/>
    <mergeCell ref="A248:P248"/>
    <mergeCell ref="A249:P249"/>
    <mergeCell ref="A254:G254"/>
    <mergeCell ref="A255:P255"/>
    <mergeCell ref="A256:P256"/>
    <mergeCell ref="A288:O288"/>
    <mergeCell ref="A276:G276"/>
    <mergeCell ref="A277:P277"/>
    <mergeCell ref="A278:P278"/>
    <mergeCell ref="A296:P296"/>
    <mergeCell ref="A304:G304"/>
    <mergeCell ref="A310:G310"/>
    <mergeCell ref="A287:G287"/>
    <mergeCell ref="A289:P289"/>
    <mergeCell ref="A295:G295"/>
    <mergeCell ref="F306:P306"/>
    <mergeCell ref="A297:P297"/>
    <mergeCell ref="A311:P311"/>
    <mergeCell ref="A306:E306"/>
    <mergeCell ref="A115:G115"/>
    <mergeCell ref="A116:P116"/>
    <mergeCell ref="A117:P117"/>
    <mergeCell ref="A107:G107"/>
    <mergeCell ref="A108:P108"/>
    <mergeCell ref="A109:P109"/>
    <mergeCell ref="A96:P96"/>
    <mergeCell ref="A97:P97"/>
    <mergeCell ref="A429:E429"/>
    <mergeCell ref="A344:E344"/>
    <mergeCell ref="A347:G347"/>
    <mergeCell ref="A387:E387"/>
    <mergeCell ref="A413:G413"/>
    <mergeCell ref="A348:P348"/>
    <mergeCell ref="A349:E349"/>
    <mergeCell ref="A385:G385"/>
    <mergeCell ref="F429:P429"/>
    <mergeCell ref="F387:P387"/>
    <mergeCell ref="F349:P349"/>
    <mergeCell ref="F344:P344"/>
    <mergeCell ref="F337:P337"/>
    <mergeCell ref="F323:P323"/>
    <mergeCell ref="F312:P312"/>
    <mergeCell ref="A212:P212"/>
  </mergeCells>
  <pageMargins left="0" right="0" top="0.55000000000000004" bottom="0" header="0" footer="0"/>
  <pageSetup paperSize="9" scale="42"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8</vt:i4>
      </vt:variant>
    </vt:vector>
  </HeadingPairs>
  <TitlesOfParts>
    <vt:vector size="14" baseType="lpstr">
      <vt:lpstr>KURUMLAR GENEL TOPLAM</vt:lpstr>
      <vt:lpstr>SEKTÖRLER GENEL TOPLAM</vt:lpstr>
      <vt:lpstr>KURUMLAR</vt:lpstr>
      <vt:lpstr>Sayfa1</vt:lpstr>
      <vt:lpstr>BELEDİYELER GENEL TOPLAM</vt:lpstr>
      <vt:lpstr>BELEDİYELER</vt:lpstr>
      <vt:lpstr>BELEDİYELER!Yazdırma_Alanı</vt:lpstr>
      <vt:lpstr>'BELEDİYELER GENEL TOPLAM'!Yazdırma_Alanı</vt:lpstr>
      <vt:lpstr>KURUMLAR!Yazdırma_Alanı</vt:lpstr>
      <vt:lpstr>'KURUMLAR GENEL TOPLAM'!Yazdırma_Alanı</vt:lpstr>
      <vt:lpstr>BELEDİYELER!Yazdırma_Başlıkları</vt:lpstr>
      <vt:lpstr>'BELEDİYELER GENEL TOPLAM'!Yazdırma_Başlıkları</vt:lpstr>
      <vt:lpstr>KURUMLAR!Yazdırma_Başlıkları</vt:lpstr>
      <vt:lpstr>'KURUMLAR GENEL TOPLAM'!Yazdırma_Başlıkları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Serpil BÜYÜKKARA</dc:creator>
  <cp:lastModifiedBy>Hamit KARA</cp:lastModifiedBy>
  <cp:lastPrinted>2021-05-18T09:09:59Z</cp:lastPrinted>
  <dcterms:created xsi:type="dcterms:W3CDTF">2019-05-06T12:54:55Z</dcterms:created>
  <dcterms:modified xsi:type="dcterms:W3CDTF">2021-05-18T11:09:47Z</dcterms:modified>
</cp:coreProperties>
</file>